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Nam 2019\KH nam 2019\KH NS tinh 2019\Ngay 29.11 chot\Chot sau hop BKTNS\Trinh UBND ngay 30.11.2018\TT+NQ\"/>
    </mc:Choice>
  </mc:AlternateContent>
  <bookViews>
    <workbookView xWindow="0" yWindow="0" windowWidth="20490" windowHeight="6960" tabRatio="718" activeTab="3"/>
  </bookViews>
  <sheets>
    <sheet name="QD" sheetId="36" r:id="rId1"/>
    <sheet name="DATA" sheetId="31" r:id="rId2"/>
    <sheet name="Tien dat 2019" sheetId="38" r:id="rId3"/>
    <sheet name="1NGUON" sheetId="32" r:id="rId4"/>
    <sheet name="2CO CAU" sheetId="30" r:id="rId5"/>
    <sheet name="3PBHUYEN" sheetId="34" r:id="rId6"/>
    <sheet name="4DMPL" sheetId="40" r:id="rId7"/>
    <sheet name="5KHCN" sheetId="1" r:id="rId8"/>
    <sheet name="6GDDT" sheetId="20" r:id="rId9"/>
    <sheet name="7YTE" sheetId="21" r:id="rId10"/>
    <sheet name="8NOXDCB" sheetId="12" r:id="rId11"/>
    <sheet name="10ChaLo" sheetId="8" r:id="rId12"/>
    <sheet name="9 ODA" sheetId="33" r:id="rId13"/>
    <sheet name="11PNKB" sheetId="9" r:id="rId14"/>
    <sheet name="12PCNST" sheetId="15" r:id="rId15"/>
    <sheet name="13TRONGDIEM" sheetId="29" r:id="rId16"/>
    <sheet name="14CHUYEN TIEP" sheetId="28" r:id="rId17"/>
    <sheet name="15KCM 2019" sheetId="26" r:id="rId18"/>
  </sheets>
  <externalReferences>
    <externalReference r:id="rId19"/>
    <externalReference r:id="rId20"/>
    <externalReference r:id="rId21"/>
  </externalReferences>
  <definedNames>
    <definedName name="____a1" localSheetId="12" hidden="1">{"'Sheet1'!$L$16"}</definedName>
    <definedName name="____a1" hidden="1">{"'Sheet1'!$L$16"}</definedName>
    <definedName name="____B1" localSheetId="12" hidden="1">{"'Sheet1'!$L$16"}</definedName>
    <definedName name="____B1" hidden="1">{"'Sheet1'!$L$16"}</definedName>
    <definedName name="____ban2" localSheetId="12" hidden="1">{"'Sheet1'!$L$16"}</definedName>
    <definedName name="____ban2" hidden="1">{"'Sheet1'!$L$16"}</definedName>
    <definedName name="____h1" localSheetId="12" hidden="1">{"'Sheet1'!$L$16"}</definedName>
    <definedName name="____h1" hidden="1">{"'Sheet1'!$L$16"}</definedName>
    <definedName name="____hu1" localSheetId="12" hidden="1">{"'Sheet1'!$L$16"}</definedName>
    <definedName name="____hu1" hidden="1">{"'Sheet1'!$L$16"}</definedName>
    <definedName name="____hu2" localSheetId="12" hidden="1">{"'Sheet1'!$L$16"}</definedName>
    <definedName name="____hu2" hidden="1">{"'Sheet1'!$L$16"}</definedName>
    <definedName name="____hu5" localSheetId="12" hidden="1">{"'Sheet1'!$L$16"}</definedName>
    <definedName name="____hu5" hidden="1">{"'Sheet1'!$L$16"}</definedName>
    <definedName name="____hu6" localSheetId="12" hidden="1">{"'Sheet1'!$L$16"}</definedName>
    <definedName name="____hu6" hidden="1">{"'Sheet1'!$L$16"}</definedName>
    <definedName name="____M36" localSheetId="12" hidden="1">{"'Sheet1'!$L$16"}</definedName>
    <definedName name="____M36" hidden="1">{"'Sheet1'!$L$16"}</definedName>
    <definedName name="____PA3" localSheetId="12" hidden="1">{"'Sheet1'!$L$16"}</definedName>
    <definedName name="____PA3" hidden="1">{"'Sheet1'!$L$16"}</definedName>
    <definedName name="____Pl2" localSheetId="12" hidden="1">{"'Sheet1'!$L$16"}</definedName>
    <definedName name="____Pl2" hidden="1">{"'Sheet1'!$L$16"}</definedName>
    <definedName name="____Tru21" localSheetId="12" hidden="1">{"'Sheet1'!$L$16"}</definedName>
    <definedName name="____Tru21" hidden="1">{"'Sheet1'!$L$16"}</definedName>
    <definedName name="___a1" localSheetId="12" hidden="1">{"'Sheet1'!$L$16"}</definedName>
    <definedName name="___a1" hidden="1">{"'Sheet1'!$L$16"}</definedName>
    <definedName name="___B1" localSheetId="12" hidden="1">{"'Sheet1'!$L$16"}</definedName>
    <definedName name="___B1" hidden="1">{"'Sheet1'!$L$16"}</definedName>
    <definedName name="___ban2" localSheetId="12" hidden="1">{"'Sheet1'!$L$16"}</definedName>
    <definedName name="___ban2" hidden="1">{"'Sheet1'!$L$16"}</definedName>
    <definedName name="___h1" localSheetId="12" hidden="1">{"'Sheet1'!$L$16"}</definedName>
    <definedName name="___h1" hidden="1">{"'Sheet1'!$L$16"}</definedName>
    <definedName name="___hsm2">1.1289</definedName>
    <definedName name="___hu1" localSheetId="12" hidden="1">{"'Sheet1'!$L$16"}</definedName>
    <definedName name="___hu1" hidden="1">{"'Sheet1'!$L$16"}</definedName>
    <definedName name="___hu2" localSheetId="12" hidden="1">{"'Sheet1'!$L$16"}</definedName>
    <definedName name="___hu2" hidden="1">{"'Sheet1'!$L$16"}</definedName>
    <definedName name="___hu5" localSheetId="12" hidden="1">{"'Sheet1'!$L$16"}</definedName>
    <definedName name="___hu5" hidden="1">{"'Sheet1'!$L$16"}</definedName>
    <definedName name="___hu6" localSheetId="12" hidden="1">{"'Sheet1'!$L$16"}</definedName>
    <definedName name="___hu6" hidden="1">{"'Sheet1'!$L$16"}</definedName>
    <definedName name="___isc1">0.035</definedName>
    <definedName name="___isc2">0.02</definedName>
    <definedName name="___isc3">0.054</definedName>
    <definedName name="___M36" localSheetId="12" hidden="1">{"'Sheet1'!$L$16"}</definedName>
    <definedName name="___M36" hidden="1">{"'Sheet1'!$L$16"}</definedName>
    <definedName name="___NSO2" localSheetId="12" hidden="1">{"'Sheet1'!$L$16"}</definedName>
    <definedName name="___NSO2" hidden="1">{"'Sheet1'!$L$16"}</definedName>
    <definedName name="___PA3" localSheetId="12" hidden="1">{"'Sheet1'!$L$16"}</definedName>
    <definedName name="___PA3" hidden="1">{"'Sheet1'!$L$16"}</definedName>
    <definedName name="___Pl2" localSheetId="12" hidden="1">{"'Sheet1'!$L$16"}</definedName>
    <definedName name="___Pl2" hidden="1">{"'Sheet1'!$L$16"}</definedName>
    <definedName name="___PL3" localSheetId="6" hidden="1">#REF!</definedName>
    <definedName name="___PL3" hidden="1">#REF!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ru21" localSheetId="12" hidden="1">{"'Sheet1'!$L$16"}</definedName>
    <definedName name="___Tru21" hidden="1">{"'Sheet1'!$L$16"}</definedName>
    <definedName name="__a1" localSheetId="12" hidden="1">{"'Sheet1'!$L$16"}</definedName>
    <definedName name="__a1" hidden="1">{"'Sheet1'!$L$16"}</definedName>
    <definedName name="__B1" localSheetId="12" hidden="1">{"'Sheet1'!$L$16"}</definedName>
    <definedName name="__B1" hidden="1">{"'Sheet1'!$L$16"}</definedName>
    <definedName name="__ban2" localSheetId="12" hidden="1">{"'Sheet1'!$L$16"}</definedName>
    <definedName name="__ban2" hidden="1">{"'Sheet1'!$L$16"}</definedName>
    <definedName name="__h1" localSheetId="12" hidden="1">{"'Sheet1'!$L$16"}</definedName>
    <definedName name="__h1" hidden="1">{"'Sheet1'!$L$16"}</definedName>
    <definedName name="__hsm2">1.1289</definedName>
    <definedName name="__hu1" localSheetId="12" hidden="1">{"'Sheet1'!$L$16"}</definedName>
    <definedName name="__hu1" hidden="1">{"'Sheet1'!$L$16"}</definedName>
    <definedName name="__hu2" localSheetId="12" hidden="1">{"'Sheet1'!$L$16"}</definedName>
    <definedName name="__hu2" hidden="1">{"'Sheet1'!$L$16"}</definedName>
    <definedName name="__hu5" localSheetId="12" hidden="1">{"'Sheet1'!$L$16"}</definedName>
    <definedName name="__hu5" hidden="1">{"'Sheet1'!$L$16"}</definedName>
    <definedName name="__hu6" localSheetId="12" hidden="1">{"'Sheet1'!$L$16"}</definedName>
    <definedName name="__hu6" hidden="1">{"'Sheet1'!$L$16"}</definedName>
    <definedName name="__isc1">0.035</definedName>
    <definedName name="__isc2">0.02</definedName>
    <definedName name="__isc3">0.054</definedName>
    <definedName name="__M36" localSheetId="12" hidden="1">{"'Sheet1'!$L$16"}</definedName>
    <definedName name="__M36" hidden="1">{"'Sheet1'!$L$16"}</definedName>
    <definedName name="__NSO2" localSheetId="12" hidden="1">{"'Sheet1'!$L$16"}</definedName>
    <definedName name="__NSO2" hidden="1">{"'Sheet1'!$L$16"}</definedName>
    <definedName name="__PA3" localSheetId="12" hidden="1">{"'Sheet1'!$L$16"}</definedName>
    <definedName name="__PA3" hidden="1">{"'Sheet1'!$L$16"}</definedName>
    <definedName name="__Pl2" localSheetId="12" hidden="1">{"'Sheet1'!$L$16"}</definedName>
    <definedName name="__Pl2" hidden="1">{"'Sheet1'!$L$16"}</definedName>
    <definedName name="__SOC10">0.3456</definedName>
    <definedName name="__SOC8">0.2827</definedName>
    <definedName name="__Sta1">531.877</definedName>
    <definedName name="__Sta2">561.952</definedName>
    <definedName name="__Sta3">712.202</definedName>
    <definedName name="__Sta4">762.202</definedName>
    <definedName name="__Tru21" localSheetId="12" hidden="1">{"'Sheet1'!$L$16"}</definedName>
    <definedName name="__Tru21" hidden="1">{"'Sheet1'!$L$16"}</definedName>
    <definedName name="_40x4">5100</definedName>
    <definedName name="_a1" localSheetId="12" hidden="1">{"'Sheet1'!$L$16"}</definedName>
    <definedName name="_a1" hidden="1">{"'Sheet1'!$L$16"}</definedName>
    <definedName name="_B1" localSheetId="12" hidden="1">{"'Sheet1'!$L$16"}</definedName>
    <definedName name="_B1" hidden="1">{"'Sheet1'!$L$16"}</definedName>
    <definedName name="_ban2" localSheetId="12" hidden="1">{"'Sheet1'!$L$16"}</definedName>
    <definedName name="_ban2" hidden="1">{"'Sheet1'!$L$16"}</definedName>
    <definedName name="_Fill" localSheetId="6" hidden="1">#REF!</definedName>
    <definedName name="_Fill" hidden="1">#REF!</definedName>
    <definedName name="_xlnm._FilterDatabase" localSheetId="11" hidden="1">'10ChaLo'!#REF!</definedName>
    <definedName name="_xlnm._FilterDatabase" localSheetId="13" hidden="1">'11PNKB'!$A$8:$P$17</definedName>
    <definedName name="_xlnm._FilterDatabase" localSheetId="14" hidden="1">'12PCNST'!$A$8:$J$8</definedName>
    <definedName name="_xlnm._FilterDatabase" localSheetId="16" hidden="1">'14CHUYEN TIEP'!#REF!</definedName>
    <definedName name="_xlnm._FilterDatabase" localSheetId="17" hidden="1">'15KCM 2019'!#REF!</definedName>
    <definedName name="_xlnm._FilterDatabase" localSheetId="6" hidden="1">#REF!</definedName>
    <definedName name="_xlnm._FilterDatabase" localSheetId="7" hidden="1">'5KHCN'!$C$4:$C$16</definedName>
    <definedName name="_xlnm._FilterDatabase" localSheetId="8" hidden="1">'6GDDT'!#REF!</definedName>
    <definedName name="_xlnm._FilterDatabase" localSheetId="9" hidden="1">'7YTE'!$C$1:$C$26</definedName>
    <definedName name="_xlnm._FilterDatabase" localSheetId="10" hidden="1">'8NOXDCB'!$C$1:$C$11</definedName>
    <definedName name="_xlnm._FilterDatabase" localSheetId="12" hidden="1">'9 ODA'!$C$1:$C$21</definedName>
    <definedName name="_xlnm._FilterDatabase" localSheetId="1" hidden="1">DATA!$A$320:$AH$371</definedName>
    <definedName name="_xlnm._FilterDatabase" localSheetId="0" hidden="1">QD!$A$8:$L$236</definedName>
    <definedName name="_xlnm._FilterDatabase" hidden="1">#REF!</definedName>
    <definedName name="_ftn1" localSheetId="4">'2CO CAU'!#REF!</definedName>
    <definedName name="_ftn1" localSheetId="6">'4DMPL'!#REF!</definedName>
    <definedName name="_ftn2" localSheetId="4">'2CO CAU'!#REF!</definedName>
    <definedName name="_ftn2" localSheetId="6">'4DMPL'!#REF!</definedName>
    <definedName name="_ftn3" localSheetId="4">'2CO CAU'!#REF!</definedName>
    <definedName name="_ftn3" localSheetId="6">'4DMPL'!#REF!</definedName>
    <definedName name="_ftn4" localSheetId="4">'2CO CAU'!#REF!</definedName>
    <definedName name="_ftn4" localSheetId="6">'4DMPL'!#REF!</definedName>
    <definedName name="_ftn5" localSheetId="4">'2CO CAU'!#REF!</definedName>
    <definedName name="_ftn5" localSheetId="6">'4DMPL'!#REF!</definedName>
    <definedName name="_ftn6" localSheetId="4">'2CO CAU'!#REF!</definedName>
    <definedName name="_ftn6" localSheetId="6">'4DMPL'!#REF!</definedName>
    <definedName name="_ftn7" localSheetId="4">'2CO CAU'!#REF!</definedName>
    <definedName name="_ftn7" localSheetId="6">'4DMPL'!#REF!</definedName>
    <definedName name="_ftnref1" localSheetId="4">'2CO CAU'!$B$10</definedName>
    <definedName name="_ftnref1" localSheetId="6">'4DMPL'!#REF!</definedName>
    <definedName name="_ftnref2" localSheetId="4">'2CO CAU'!$B$11</definedName>
    <definedName name="_ftnref2" localSheetId="6">'4DMPL'!#REF!</definedName>
    <definedName name="_ftnref3" localSheetId="4">'2CO CAU'!$B$13</definedName>
    <definedName name="_ftnref3" localSheetId="6">'4DMPL'!#REF!</definedName>
    <definedName name="_ftnref4" localSheetId="4">'2CO CAU'!$B$19</definedName>
    <definedName name="_ftnref4" localSheetId="6">'4DMPL'!#REF!</definedName>
    <definedName name="_ftnref5" localSheetId="4">'2CO CAU'!$B$20</definedName>
    <definedName name="_ftnref5" localSheetId="6">'4DMPL'!#REF!</definedName>
    <definedName name="_ftnref6" localSheetId="4">'2CO CAU'!#REF!</definedName>
    <definedName name="_ftnref6" localSheetId="6">'4DMPL'!#REF!</definedName>
    <definedName name="_ftnref7" localSheetId="4">'2CO CAU'!#REF!</definedName>
    <definedName name="_ftnref7" localSheetId="6">'4DMPL'!#REF!</definedName>
    <definedName name="_h1" localSheetId="12" hidden="1">{"'Sheet1'!$L$16"}</definedName>
    <definedName name="_h1" hidden="1">{"'Sheet1'!$L$16"}</definedName>
    <definedName name="_hsm2">1.1289</definedName>
    <definedName name="_hu1" localSheetId="12" hidden="1">{"'Sheet1'!$L$16"}</definedName>
    <definedName name="_hu1" hidden="1">{"'Sheet1'!$L$16"}</definedName>
    <definedName name="_hu2" localSheetId="12" hidden="1">{"'Sheet1'!$L$16"}</definedName>
    <definedName name="_hu2" hidden="1">{"'Sheet1'!$L$16"}</definedName>
    <definedName name="_hu5" localSheetId="12" hidden="1">{"'Sheet1'!$L$16"}</definedName>
    <definedName name="_hu5" hidden="1">{"'Sheet1'!$L$16"}</definedName>
    <definedName name="_hu6" localSheetId="12" hidden="1">{"'Sheet1'!$L$16"}</definedName>
    <definedName name="_hu6" hidden="1">{"'Sheet1'!$L$16"}</definedName>
    <definedName name="_isc1">0.035</definedName>
    <definedName name="_isc2">0.02</definedName>
    <definedName name="_isc3">0.054</definedName>
    <definedName name="_Key1" localSheetId="6" hidden="1">#REF!</definedName>
    <definedName name="_Key1" hidden="1">#REF!</definedName>
    <definedName name="_Key2" localSheetId="6" hidden="1">#REF!</definedName>
    <definedName name="_Key2" hidden="1">#REF!</definedName>
    <definedName name="_M36" localSheetId="12" hidden="1">{"'Sheet1'!$L$16"}</definedName>
    <definedName name="_M36" hidden="1">{"'Sheet1'!$L$16"}</definedName>
    <definedName name="_NSO2" localSheetId="12" hidden="1">{"'Sheet1'!$L$16"}</definedName>
    <definedName name="_NSO2" hidden="1">{"'Sheet1'!$L$16"}</definedName>
    <definedName name="_Order1" hidden="1">255</definedName>
    <definedName name="_Order2" hidden="1">255</definedName>
    <definedName name="_PA3" localSheetId="12" hidden="1">{"'Sheet1'!$L$16"}</definedName>
    <definedName name="_PA3" hidden="1">{"'Sheet1'!$L$16"}</definedName>
    <definedName name="_Pl2" localSheetId="12" hidden="1">{"'Sheet1'!$L$16"}</definedName>
    <definedName name="_Pl2" hidden="1">{"'Sheet1'!$L$16"}</definedName>
    <definedName name="_PL3" localSheetId="6" hidden="1">#REF!</definedName>
    <definedName name="_PL3" hidden="1">#REF!</definedName>
    <definedName name="_SOC10">0.3456</definedName>
    <definedName name="_SOC8">0.2827</definedName>
    <definedName name="_Sort" localSheetId="6" hidden="1">#REF!</definedName>
    <definedName name="_Sort" hidden="1">#REF!</definedName>
    <definedName name="_Sta1">531.877</definedName>
    <definedName name="_Sta2">561.952</definedName>
    <definedName name="_Sta3">712.202</definedName>
    <definedName name="_Sta4">762.202</definedName>
    <definedName name="_Tru21" localSheetId="12" hidden="1">{"'Sheet1'!$L$16"}</definedName>
    <definedName name="_Tru21" hidden="1">{"'Sheet1'!$L$16"}</definedName>
    <definedName name="a" localSheetId="12" hidden="1">{"'Sheet1'!$L$16"}</definedName>
    <definedName name="a" hidden="1">{"'Sheet1'!$L$16"}</definedName>
    <definedName name="ABC" localSheetId="6" hidden="1">#REF!</definedName>
    <definedName name="ABC" hidden="1">#REF!</definedName>
    <definedName name="anscount" hidden="1">3</definedName>
    <definedName name="ATGT" localSheetId="12" hidden="1">{"'Sheet1'!$L$16"}</definedName>
    <definedName name="ATGT" hidden="1">{"'Sheet1'!$L$16"}</definedName>
    <definedName name="B.nuamat">7.25</definedName>
    <definedName name="bdd">1.5</definedName>
    <definedName name="Bm">3.5</definedName>
    <definedName name="Bn">6.5</definedName>
    <definedName name="BQP">'[1]BANCO (3)'!$N$124</definedName>
    <definedName name="Bulongma">8700</definedName>
    <definedName name="C.doc1">540</definedName>
    <definedName name="C.doc2">740</definedName>
    <definedName name="CACAU">298161</definedName>
    <definedName name="CDTK_tim">31.77</definedName>
    <definedName name="CLVC3">0.1</definedName>
    <definedName name="CoCauN" localSheetId="12" hidden="1">{"'Sheet1'!$L$16"}</definedName>
    <definedName name="CoCauN" hidden="1">{"'Sheet1'!$L$16"}</definedName>
    <definedName name="Code" localSheetId="6" hidden="1">#REF!</definedName>
    <definedName name="Code" hidden="1">#REF!</definedName>
    <definedName name="Cotsatma">9726</definedName>
    <definedName name="Cotthepma">9726</definedName>
    <definedName name="CP" localSheetId="6" hidden="1">#REF!</definedName>
    <definedName name="CP" hidden="1">#REF!</definedName>
    <definedName name="CTCT1" localSheetId="12" hidden="1">{"'Sheet1'!$L$16"}</definedName>
    <definedName name="CTCT1" hidden="1">{"'Sheet1'!$L$16"}</definedName>
    <definedName name="chitietbgiang2" localSheetId="12" hidden="1">{"'Sheet1'!$L$16"}</definedName>
    <definedName name="chitietbgiang2" hidden="1">{"'Sheet1'!$L$16"}</definedName>
    <definedName name="chung">66</definedName>
    <definedName name="dam">78000</definedName>
    <definedName name="data1" localSheetId="6" hidden="1">#REF!</definedName>
    <definedName name="data1" hidden="1">#REF!</definedName>
    <definedName name="data2" localSheetId="6" hidden="1">#REF!</definedName>
    <definedName name="data2" hidden="1">#REF!</definedName>
    <definedName name="data3" localSheetId="6" hidden="1">#REF!</definedName>
    <definedName name="data3" hidden="1">#REF!</definedName>
    <definedName name="DataFilter" localSheetId="6">[2]!DataFilter</definedName>
    <definedName name="DataFilter">[2]!DataFilter</definedName>
    <definedName name="DataSort" localSheetId="6">[2]!DataSort</definedName>
    <definedName name="DataSort">[2]!DataSort</definedName>
    <definedName name="DCL_22">12117600</definedName>
    <definedName name="DCL_35">25490000</definedName>
    <definedName name="dddem">0.1</definedName>
    <definedName name="Discount" localSheetId="6" hidden="1">#REF!</definedName>
    <definedName name="Discount" hidden="1">#REF!</definedName>
    <definedName name="display_area_2" localSheetId="6" hidden="1">#REF!</definedName>
    <definedName name="display_area_2" hidden="1">#REF!</definedName>
    <definedName name="docdoc">0.03125</definedName>
    <definedName name="dotcong">1</definedName>
    <definedName name="drf" localSheetId="6" hidden="1">#REF!</definedName>
    <definedName name="drf" hidden="1">#REF!</definedName>
    <definedName name="ds" localSheetId="12" hidden="1">{#N/A,#N/A,FALSE,"Chi tiÆt"}</definedName>
    <definedName name="ds" hidden="1">{#N/A,#N/A,FALSE,"Chi tiÆt"}</definedName>
    <definedName name="dsh" localSheetId="6" hidden="1">#REF!</definedName>
    <definedName name="dsh" hidden="1">#REF!</definedName>
    <definedName name="DuphongBCT">'[1]BANCO (3)'!$K$128</definedName>
    <definedName name="DuphongBNG">'[1]BANCO (3)'!$K$126</definedName>
    <definedName name="DuphongBQP">'[1]BANCO (3)'!$K$125</definedName>
    <definedName name="DuphongVKS">'[3]BANCO (2)'!$F$123</definedName>
    <definedName name="E.chandoc">8.875</definedName>
    <definedName name="E.PC">10.438</definedName>
    <definedName name="E.PVI">12</definedName>
    <definedName name="FCode" localSheetId="6" hidden="1">#REF!</definedName>
    <definedName name="FCode" hidden="1">#REF!</definedName>
    <definedName name="FI_12">4820</definedName>
    <definedName name="g" localSheetId="12" hidden="1">{"'Sheet1'!$L$16"}</definedName>
    <definedName name="g" hidden="1">{"'Sheet1'!$L$16"}</definedName>
    <definedName name="GoBack" localSheetId="6">[2]Sheet1!GoBack</definedName>
    <definedName name="GoBack">[2]Sheet1!GoBack</definedName>
    <definedName name="h" localSheetId="12" hidden="1">{"'Sheet1'!$L$16"}</definedName>
    <definedName name="h" hidden="1">{"'Sheet1'!$L$16"}</definedName>
    <definedName name="Hdao">0.3</definedName>
    <definedName name="Hdap">5.2</definedName>
    <definedName name="Heä_soá_laép_xaø_H">1.7</definedName>
    <definedName name="Heso">'[3]MT DPin (2)'!$BP$99</definedName>
    <definedName name="HiddenRows" localSheetId="6" hidden="1">#REF!</definedName>
    <definedName name="HiddenRows" hidden="1">#REF!</definedName>
    <definedName name="hoc">55000</definedName>
    <definedName name="HSCT3">0.1</definedName>
    <definedName name="HSDN">2.5</definedName>
    <definedName name="HSLXH">1.7</definedName>
    <definedName name="hsm">1.1289</definedName>
    <definedName name="hsn">0.5</definedName>
    <definedName name="hsnc_cau">2.5039</definedName>
    <definedName name="hsnc_cau2">1.626</definedName>
    <definedName name="hsnc_d">1.6356</definedName>
    <definedName name="hsnc_d2">1.6356</definedName>
    <definedName name="HSTH">'[1]BANCO (3)'!$K$122</definedName>
    <definedName name="hsvl">1</definedName>
    <definedName name="hsvl2">1</definedName>
    <definedName name="htlm" localSheetId="12" hidden="1">{"'Sheet1'!$L$16"}</definedName>
    <definedName name="htlm" hidden="1">{"'Sheet1'!$L$16"}</definedName>
    <definedName name="HTML_CodePage" hidden="1">950</definedName>
    <definedName name="HTML_Control" localSheetId="12"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 localSheetId="12" hidden="1">{"'Sheet1'!$L$16"}</definedName>
    <definedName name="hu" hidden="1">{"'Sheet1'!$L$16"}</definedName>
    <definedName name="HUU" localSheetId="12" hidden="1">{"'Sheet1'!$L$16"}</definedName>
    <definedName name="HUU" hidden="1">{"'Sheet1'!$L$16"}</definedName>
    <definedName name="huy" localSheetId="12" hidden="1">{"'Sheet1'!$L$16"}</definedName>
    <definedName name="huy" hidden="1">{"'Sheet1'!$L$16"}</definedName>
    <definedName name="j" localSheetId="12" hidden="1">{"'Sheet1'!$L$16"}</definedName>
    <definedName name="j" hidden="1">{"'Sheet1'!$L$16"}</definedName>
    <definedName name="k" localSheetId="12" hidden="1">{"'Sheet1'!$L$16"}</definedName>
    <definedName name="k" hidden="1">{"'Sheet1'!$L$16"}</definedName>
    <definedName name="ksbn" localSheetId="12" hidden="1">{"'Sheet1'!$L$16"}</definedName>
    <definedName name="ksbn" hidden="1">{"'Sheet1'!$L$16"}</definedName>
    <definedName name="kshn" localSheetId="12" hidden="1">{"'Sheet1'!$L$16"}</definedName>
    <definedName name="kshn" hidden="1">{"'Sheet1'!$L$16"}</definedName>
    <definedName name="ksls" localSheetId="12" hidden="1">{"'Sheet1'!$L$16"}</definedName>
    <definedName name="ksls" hidden="1">{"'Sheet1'!$L$16"}</definedName>
    <definedName name="khac">2</definedName>
    <definedName name="khongtruotgia" localSheetId="12" hidden="1">{"'Sheet1'!$L$16"}</definedName>
    <definedName name="khongtruotgia" hidden="1">{"'Sheet1'!$L$16"}</definedName>
    <definedName name="l" localSheetId="12" hidden="1">{"'Sheet1'!$L$16"}</definedName>
    <definedName name="l" hidden="1">{"'Sheet1'!$L$16"}</definedName>
    <definedName name="L63x6">5800</definedName>
    <definedName name="langson" localSheetId="12" hidden="1">{"'Sheet1'!$L$16"}</definedName>
    <definedName name="langson" hidden="1">{"'Sheet1'!$L$16"}</definedName>
    <definedName name="LBS_22">107800000</definedName>
    <definedName name="lk" localSheetId="6" hidden="1">#REF!</definedName>
    <definedName name="lk" hidden="1">#REF!</definedName>
    <definedName name="m" localSheetId="12" hidden="1">{"'Sheet1'!$L$16"}</definedName>
    <definedName name="m" hidden="1">{"'Sheet1'!$L$16"}</definedName>
    <definedName name="mo" localSheetId="12" hidden="1">{"'Sheet1'!$L$16"}</definedName>
    <definedName name="mo" hidden="1">{"'Sheet1'!$L$16"}</definedName>
    <definedName name="moi" localSheetId="12" hidden="1">{"'Sheet1'!$L$16"}</definedName>
    <definedName name="moi" hidden="1">{"'Sheet1'!$L$16"}</definedName>
    <definedName name="n" localSheetId="12" hidden="1">{"'Sheet1'!$L$16"}</definedName>
    <definedName name="n" hidden="1">{"'Sheet1'!$L$16"}</definedName>
    <definedName name="OrderTable" localSheetId="6" hidden="1">#REF!</definedName>
    <definedName name="OrderTable" hidden="1">#REF!</definedName>
    <definedName name="PAIII_" localSheetId="12" hidden="1">{"'Sheet1'!$L$16"}</definedName>
    <definedName name="PAIII_" hidden="1">{"'Sheet1'!$L$16"}</definedName>
    <definedName name="PMS" localSheetId="12" hidden="1">{"'Sheet1'!$L$16"}</definedName>
    <definedName name="PMS" hidden="1">{"'Sheet1'!$L$16"}</definedName>
    <definedName name="_xlnm.Print_Titles" localSheetId="11">'10ChaLo'!$1:$7</definedName>
    <definedName name="_xlnm.Print_Titles" localSheetId="13">'11PNKB'!$1:$7</definedName>
    <definedName name="_xlnm.Print_Titles" localSheetId="14">'12PCNST'!$1:$7</definedName>
    <definedName name="_xlnm.Print_Titles" localSheetId="15">'13TRONGDIEM'!$1:$7</definedName>
    <definedName name="_xlnm.Print_Titles" localSheetId="16">'14CHUYEN TIEP'!$1:$7</definedName>
    <definedName name="_xlnm.Print_Titles" localSheetId="17">'15KCM 2019'!$1:$7</definedName>
    <definedName name="_xlnm.Print_Titles" localSheetId="3">'1NGUON'!$1:$4</definedName>
    <definedName name="_xlnm.Print_Titles" localSheetId="7">'5KHCN'!$1:$7</definedName>
    <definedName name="_xlnm.Print_Titles" localSheetId="8">'6GDDT'!$1:$7</definedName>
    <definedName name="_xlnm.Print_Titles" localSheetId="9">'7YTE'!$1:$7</definedName>
    <definedName name="_xlnm.Print_Titles" localSheetId="10">'8NOXDCB'!$1:$7</definedName>
    <definedName name="_xlnm.Print_Titles" localSheetId="12">'9 ODA'!$1:$7</definedName>
    <definedName name="_xlnm.Print_Titles" localSheetId="0">QD!$4:$8</definedName>
    <definedName name="ProdForm" localSheetId="6" hidden="1">#REF!</definedName>
    <definedName name="ProdForm" hidden="1">#REF!</definedName>
    <definedName name="Product" localSheetId="6" hidden="1">#REF!</definedName>
    <definedName name="Product" hidden="1">#REF!</definedName>
    <definedName name="rate">14000</definedName>
    <definedName name="RCArea" localSheetId="6" hidden="1">#REF!</definedName>
    <definedName name="RCArea" hidden="1">#REF!</definedName>
    <definedName name="S.dinh">640</definedName>
    <definedName name="Spanner_Auto_File">"C:\My Documents\tinh cdo.x2a"</definedName>
    <definedName name="SpecialPrice" localSheetId="6" hidden="1">#REF!</definedName>
    <definedName name="SpecialPrice" hidden="1">#REF!</definedName>
    <definedName name="t" localSheetId="12" hidden="1">{"'Sheet1'!$L$16"}</definedName>
    <definedName name="t" hidden="1">{"'Sheet1'!$L$16"}</definedName>
    <definedName name="Tang">100</definedName>
    <definedName name="TaxTV">10%</definedName>
    <definedName name="TaxXL">5%</definedName>
    <definedName name="tbl_ProdInfo" localSheetId="6" hidden="1">#REF!</definedName>
    <definedName name="tbl_ProdInfo" hidden="1">#REF!</definedName>
    <definedName name="Tiepdiama">9500</definedName>
    <definedName name="ttttt" localSheetId="12" hidden="1">{"'Sheet1'!$L$16"}</definedName>
    <definedName name="ttttt" hidden="1">{"'Sheet1'!$L$16"}</definedName>
    <definedName name="TTTTTTTTT" localSheetId="12" hidden="1">{"'Sheet1'!$L$16"}</definedName>
    <definedName name="TTTTTTTTT" hidden="1">{"'Sheet1'!$L$16"}</definedName>
    <definedName name="ttttttttttt" localSheetId="12" hidden="1">{"'Sheet1'!$L$16"}</definedName>
    <definedName name="ttttttttttt" hidden="1">{"'Sheet1'!$L$16"}</definedName>
    <definedName name="tuyennhanh" localSheetId="12" hidden="1">{"'Sheet1'!$L$16"}</definedName>
    <definedName name="tuyennhanh" hidden="1">{"'Sheet1'!$L$16"}</definedName>
    <definedName name="tytrong16so5nam">'[1]PLI CTrinh'!$CN$10</definedName>
    <definedName name="tha" localSheetId="12" hidden="1">{"'Sheet1'!$L$16"}</definedName>
    <definedName name="tha" hidden="1">{"'Sheet1'!$L$16"}</definedName>
    <definedName name="thepma">10500</definedName>
    <definedName name="thue">6</definedName>
    <definedName name="u" localSheetId="12" hidden="1">{"'Sheet1'!$L$16"}</definedName>
    <definedName name="u" hidden="1">{"'Sheet1'!$L$16"}</definedName>
    <definedName name="ư" localSheetId="12" hidden="1">{"'Sheet1'!$L$16"}</definedName>
    <definedName name="ư" hidden="1">{"'Sheet1'!$L$16"}</definedName>
    <definedName name="v" localSheetId="12" hidden="1">{"'Sheet1'!$L$16"}</definedName>
    <definedName name="v" hidden="1">{"'Sheet1'!$L$16"}</definedName>
    <definedName name="VAÄT_LIEÄU">"nhandongia"</definedName>
    <definedName name="vcoto" localSheetId="12" hidden="1">{"'Sheet1'!$L$16"}</definedName>
    <definedName name="vcoto" hidden="1">{"'Sheet1'!$L$16"}</definedName>
    <definedName name="Viet" localSheetId="12" hidden="1">{"'Sheet1'!$L$16"}</definedName>
    <definedName name="Viet" hidden="1">{"'Sheet1'!$L$16"}</definedName>
    <definedName name="WIRE1">5</definedName>
    <definedName name="wrn.aaa." localSheetId="12" hidden="1">{#N/A,#N/A,FALSE,"Sheet1";#N/A,#N/A,FALSE,"Sheet1";#N/A,#N/A,FALSE,"Sheet1"}</definedName>
    <definedName name="wrn.aaa." hidden="1">{#N/A,#N/A,FALSE,"Sheet1";#N/A,#N/A,FALSE,"Sheet1";#N/A,#N/A,FALSE,"Sheet1"}</definedName>
    <definedName name="wrn.cong." localSheetId="12" hidden="1">{#N/A,#N/A,FALSE,"Sheet1"}</definedName>
    <definedName name="wrn.cong." hidden="1">{#N/A,#N/A,FALSE,"Sheet1"}</definedName>
    <definedName name="wrn.chi._.tiÆt." localSheetId="12" hidden="1">{#N/A,#N/A,FALSE,"Chi tiÆt"}</definedName>
    <definedName name="wrn.chi._.tiÆt." hidden="1">{#N/A,#N/A,FALSE,"Chi tiÆt"}</definedName>
    <definedName name="wrn.vd." localSheetId="12" hidden="1">{#N/A,#N/A,TRUE,"BT M200 da 10x20"}</definedName>
    <definedName name="wrn.vd." hidden="1">{#N/A,#N/A,TRUE,"BT M200 da 10x20"}</definedName>
    <definedName name="XBCNCKT">5600</definedName>
    <definedName name="XCCT">0.5</definedName>
    <definedName name="xls" localSheetId="12" hidden="1">{"'Sheet1'!$L$16"}</definedName>
    <definedName name="xls" hidden="1">{"'Sheet1'!$L$16"}</definedName>
    <definedName name="xlttbninh" localSheetId="12" hidden="1">{"'Sheet1'!$L$16"}</definedName>
    <definedName name="xlttbninh" hidden="1">{"'Sheet1'!$L$16"}</definedName>
    <definedName name="XTKKTTC">7500</definedName>
    <definedName name="Z_0B8F73CD_F511_4AF8_BA4E_D1A174525FCD_.wvu.Cols" localSheetId="11" hidden="1">'10ChaLo'!#REF!,'10ChaLo'!#REF!,'10ChaLo'!#REF!</definedName>
    <definedName name="Z_0B8F73CD_F511_4AF8_BA4E_D1A174525FCD_.wvu.Cols" localSheetId="13" hidden="1">'11PNKB'!#REF!,'11PNKB'!#REF!,'11PNKB'!#REF!</definedName>
    <definedName name="Z_0B8F73CD_F511_4AF8_BA4E_D1A174525FCD_.wvu.Cols" localSheetId="14" hidden="1">'12PCNST'!#REF!,'12PCNST'!#REF!,'12PCNST'!#REF!</definedName>
    <definedName name="Z_0B8F73CD_F511_4AF8_BA4E_D1A174525FCD_.wvu.Cols" localSheetId="15" hidden="1">'13TRONGDIEM'!#REF!,'13TRONGDIEM'!#REF!,'13TRONGDIEM'!#REF!</definedName>
    <definedName name="Z_0B8F73CD_F511_4AF8_BA4E_D1A174525FCD_.wvu.Cols" localSheetId="16" hidden="1">'14CHUYEN TIEP'!#REF!,'14CHUYEN TIEP'!#REF!,'14CHUYEN TIEP'!#REF!</definedName>
    <definedName name="Z_0B8F73CD_F511_4AF8_BA4E_D1A174525FCD_.wvu.Cols" localSheetId="7" hidden="1">'5KHCN'!#REF!,'5KHCN'!#REF!,'5KHCN'!#REF!</definedName>
    <definedName name="Z_0B8F73CD_F511_4AF8_BA4E_D1A174525FCD_.wvu.Cols" localSheetId="10" hidden="1">'8NOXDCB'!#REF!,'8NOXDCB'!#REF!,'8NOXDCB'!#REF!</definedName>
    <definedName name="Z_0B8F73CD_F511_4AF8_BA4E_D1A174525FCD_.wvu.Cols" localSheetId="12" hidden="1">'9 ODA'!#REF!,'9 ODA'!#REF!,'9 ODA'!#REF!</definedName>
    <definedName name="Z_0B8F73CD_F511_4AF8_BA4E_D1A174525FCD_.wvu.Cols" localSheetId="0" hidden="1">QD!#REF!,QD!#REF!,QD!#REF!</definedName>
    <definedName name="Z_0B8F73CD_F511_4AF8_BA4E_D1A174525FCD_.wvu.FilterData" localSheetId="11" hidden="1">'10ChaLo'!#REF!</definedName>
    <definedName name="Z_0B8F73CD_F511_4AF8_BA4E_D1A174525FCD_.wvu.FilterData" localSheetId="13" hidden="1">'11PNKB'!$A$8:$P$17</definedName>
    <definedName name="Z_0B8F73CD_F511_4AF8_BA4E_D1A174525FCD_.wvu.FilterData" localSheetId="14" hidden="1">'12PCNST'!$A$8:$J$8</definedName>
    <definedName name="Z_0B8F73CD_F511_4AF8_BA4E_D1A174525FCD_.wvu.FilterData" localSheetId="15" hidden="1">'13TRONGDIEM'!#REF!</definedName>
    <definedName name="Z_0B8F73CD_F511_4AF8_BA4E_D1A174525FCD_.wvu.FilterData" localSheetId="16" hidden="1">'14CHUYEN TIEP'!$A$8:$L$8</definedName>
    <definedName name="Z_0B8F73CD_F511_4AF8_BA4E_D1A174525FCD_.wvu.FilterData" localSheetId="7" hidden="1">'5KHCN'!$A$7:$M$18</definedName>
    <definedName name="Z_0B8F73CD_F511_4AF8_BA4E_D1A174525FCD_.wvu.FilterData" localSheetId="10" hidden="1">'8NOXDCB'!$A$6:$J$6</definedName>
    <definedName name="Z_0B8F73CD_F511_4AF8_BA4E_D1A174525FCD_.wvu.FilterData" localSheetId="12" hidden="1">'9 ODA'!$A$8:$P$20</definedName>
    <definedName name="Z_0B8F73CD_F511_4AF8_BA4E_D1A174525FCD_.wvu.FilterData" localSheetId="0" hidden="1">QD!$A$8:$L$236</definedName>
    <definedName name="Z_0B8F73CD_F511_4AF8_BA4E_D1A174525FCD_.wvu.PrintTitles" localSheetId="11" hidden="1">'10ChaLo'!$4:$7</definedName>
    <definedName name="Z_0B8F73CD_F511_4AF8_BA4E_D1A174525FCD_.wvu.PrintTitles" localSheetId="13" hidden="1">'11PNKB'!$4:$7</definedName>
    <definedName name="Z_0B8F73CD_F511_4AF8_BA4E_D1A174525FCD_.wvu.PrintTitles" localSheetId="14" hidden="1">'12PCNST'!$4:$7</definedName>
    <definedName name="Z_0B8F73CD_F511_4AF8_BA4E_D1A174525FCD_.wvu.PrintTitles" localSheetId="15" hidden="1">'13TRONGDIEM'!$4:$7</definedName>
    <definedName name="Z_0B8F73CD_F511_4AF8_BA4E_D1A174525FCD_.wvu.PrintTitles" localSheetId="16" hidden="1">'14CHUYEN TIEP'!$4:$7</definedName>
    <definedName name="Z_0B8F73CD_F511_4AF8_BA4E_D1A174525FCD_.wvu.PrintTitles" localSheetId="7" hidden="1">'5KHCN'!$4:$6</definedName>
    <definedName name="Z_0B8F73CD_F511_4AF8_BA4E_D1A174525FCD_.wvu.PrintTitles" localSheetId="10" hidden="1">'8NOXDCB'!$4:$5</definedName>
    <definedName name="Z_0B8F73CD_F511_4AF8_BA4E_D1A174525FCD_.wvu.PrintTitles" localSheetId="12" hidden="1">'9 ODA'!$4:$7</definedName>
    <definedName name="Z_0B8F73CD_F511_4AF8_BA4E_D1A174525FCD_.wvu.PrintTitles" localSheetId="0" hidden="1">QD!$4:$7</definedName>
    <definedName name="Z_1F2FE49A_48DE_4818_8B14_5EF136A05F63_.wvu.FilterData" localSheetId="11" hidden="1">'10ChaLo'!$A$7:$ID$7</definedName>
    <definedName name="Z_1F2FE49A_48DE_4818_8B14_5EF136A05F63_.wvu.FilterData" localSheetId="13" hidden="1">'11PNKB'!$A$7:$IF$12</definedName>
    <definedName name="Z_1F2FE49A_48DE_4818_8B14_5EF136A05F63_.wvu.FilterData" localSheetId="14" hidden="1">'12PCNST'!$A$7:$ID$8</definedName>
    <definedName name="Z_1F2FE49A_48DE_4818_8B14_5EF136A05F63_.wvu.FilterData" localSheetId="15" hidden="1">'13TRONGDIEM'!$A$7:$IB$7</definedName>
    <definedName name="Z_1F2FE49A_48DE_4818_8B14_5EF136A05F63_.wvu.FilterData" localSheetId="16" hidden="1">'14CHUYEN TIEP'!$A$7:$ID$8</definedName>
    <definedName name="Z_1F2FE49A_48DE_4818_8B14_5EF136A05F63_.wvu.FilterData" localSheetId="7" hidden="1">'5KHCN'!$A$6:$FZ$18</definedName>
    <definedName name="Z_1F2FE49A_48DE_4818_8B14_5EF136A05F63_.wvu.FilterData" localSheetId="10" hidden="1">'8NOXDCB'!$A$5:$IF$6</definedName>
    <definedName name="Z_1F2FE49A_48DE_4818_8B14_5EF136A05F63_.wvu.FilterData" localSheetId="12" hidden="1">'9 ODA'!$A$7:$IF$20</definedName>
    <definedName name="Z_1F2FE49A_48DE_4818_8B14_5EF136A05F63_.wvu.FilterData" localSheetId="0" hidden="1">QD!$A$7:$HW$235</definedName>
    <definedName name="Z_1F2FE49A_48DE_4818_8B14_5EF136A05F63_.wvu.PrintTitles" localSheetId="11" hidden="1">'10ChaLo'!$4:$7</definedName>
    <definedName name="Z_1F2FE49A_48DE_4818_8B14_5EF136A05F63_.wvu.PrintTitles" localSheetId="13" hidden="1">'11PNKB'!$4:$7</definedName>
    <definedName name="Z_1F2FE49A_48DE_4818_8B14_5EF136A05F63_.wvu.PrintTitles" localSheetId="14" hidden="1">'12PCNST'!$4:$7</definedName>
    <definedName name="Z_1F2FE49A_48DE_4818_8B14_5EF136A05F63_.wvu.PrintTitles" localSheetId="15" hidden="1">'13TRONGDIEM'!$4:$7</definedName>
    <definedName name="Z_1F2FE49A_48DE_4818_8B14_5EF136A05F63_.wvu.PrintTitles" localSheetId="16" hidden="1">'14CHUYEN TIEP'!$4:$7</definedName>
    <definedName name="Z_1F2FE49A_48DE_4818_8B14_5EF136A05F63_.wvu.PrintTitles" localSheetId="7" hidden="1">'5KHCN'!$4:$6</definedName>
    <definedName name="Z_1F2FE49A_48DE_4818_8B14_5EF136A05F63_.wvu.PrintTitles" localSheetId="10" hidden="1">'8NOXDCB'!$4:$5</definedName>
    <definedName name="Z_1F2FE49A_48DE_4818_8B14_5EF136A05F63_.wvu.PrintTitles" localSheetId="12" hidden="1">'9 ODA'!$4:$7</definedName>
    <definedName name="Z_1F2FE49A_48DE_4818_8B14_5EF136A05F63_.wvu.PrintTitles" localSheetId="0" hidden="1">QD!$4:$7</definedName>
  </definedNames>
  <calcPr calcId="162913"/>
  <customWorkbookViews>
    <customWorkbookView name="Admin - Personal View" guid="{0B8F73CD-F511-4AF8-BA4E-D1A174525FCD}" mergeInterval="0" personalView="1" maximized="1" windowWidth="1362" windowHeight="543" activeSheetId="1"/>
    <customWorkbookView name="VNN.R9 - Personal View" guid="{1F2FE49A-48DE-4818-8B14-5EF136A05F63}" mergeInterval="0" personalView="1" maximized="1" xWindow="1" yWindow="1" windowWidth="1362" windowHeight="538" activeSheetId="1"/>
  </customWorkbookViews>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08" i="20" l="1"/>
  <c r="D39" i="28" l="1"/>
  <c r="F21" i="30" l="1"/>
  <c r="F22" i="30"/>
  <c r="B14" i="30"/>
  <c r="B12" i="30"/>
  <c r="AE168" i="31"/>
  <c r="AD168" i="31"/>
  <c r="AD167" i="31"/>
  <c r="M17" i="29"/>
  <c r="AD237" i="31"/>
  <c r="AE237" i="31" s="1"/>
  <c r="P237" i="31"/>
  <c r="AE239" i="31"/>
  <c r="AD239" i="31"/>
  <c r="AE235" i="31"/>
  <c r="AD235" i="31"/>
  <c r="AD175" i="31"/>
  <c r="L110" i="20"/>
  <c r="C35" i="30"/>
  <c r="D14" i="30"/>
  <c r="D12" i="30"/>
  <c r="D6" i="30"/>
  <c r="O17" i="29" l="1"/>
  <c r="U293" i="31" l="1"/>
  <c r="Q293" i="31"/>
  <c r="S293" i="31"/>
  <c r="T300" i="31"/>
  <c r="P300" i="31" l="1"/>
  <c r="Y367" i="31" l="1"/>
  <c r="F23" i="33" l="1"/>
  <c r="AD509" i="31" l="1"/>
  <c r="AE509" i="31" s="1"/>
  <c r="AD216" i="31" l="1"/>
  <c r="AE216" i="31" s="1"/>
  <c r="AD217" i="31"/>
  <c r="AE217" i="31" s="1"/>
  <c r="E37" i="28" l="1"/>
  <c r="E38" i="28"/>
  <c r="E39" i="28"/>
  <c r="E40" i="28"/>
  <c r="E41" i="28"/>
  <c r="E42" i="28"/>
  <c r="E43" i="28"/>
  <c r="E36" i="28"/>
  <c r="E32" i="28"/>
  <c r="E33" i="28"/>
  <c r="E34" i="28"/>
  <c r="E31" i="28"/>
  <c r="E11" i="28"/>
  <c r="E12" i="28"/>
  <c r="E13" i="28"/>
  <c r="E14" i="28"/>
  <c r="E15" i="28"/>
  <c r="E16" i="28"/>
  <c r="E17" i="28"/>
  <c r="E18" i="28"/>
  <c r="E19" i="28"/>
  <c r="E20" i="28"/>
  <c r="E21" i="28"/>
  <c r="E22" i="28"/>
  <c r="E23" i="28"/>
  <c r="E24" i="28"/>
  <c r="E25" i="28"/>
  <c r="E26" i="28"/>
  <c r="E27" i="28"/>
  <c r="E28" i="28"/>
  <c r="E29" i="28"/>
  <c r="E10" i="28"/>
  <c r="E26" i="26"/>
  <c r="E27" i="26"/>
  <c r="E28" i="26"/>
  <c r="E29" i="26"/>
  <c r="E30" i="26"/>
  <c r="E31" i="26"/>
  <c r="E32" i="26"/>
  <c r="E33" i="26"/>
  <c r="E34" i="26"/>
  <c r="E35" i="26"/>
  <c r="E36" i="26"/>
  <c r="E37" i="26"/>
  <c r="E38" i="26"/>
  <c r="E39" i="26"/>
  <c r="E40" i="26"/>
  <c r="E41" i="26"/>
  <c r="E42" i="26"/>
  <c r="E43" i="26"/>
  <c r="E44" i="26"/>
  <c r="E45" i="26"/>
  <c r="E46" i="26"/>
  <c r="E47" i="26"/>
  <c r="E48" i="26"/>
  <c r="E49" i="26"/>
  <c r="E50" i="26"/>
  <c r="E51" i="26"/>
  <c r="E52" i="26"/>
  <c r="E53" i="26"/>
  <c r="E54" i="26"/>
  <c r="E55" i="26"/>
  <c r="E56" i="26"/>
  <c r="E57" i="26"/>
  <c r="E58" i="26"/>
  <c r="E59" i="26"/>
  <c r="E60" i="26"/>
  <c r="E25" i="26"/>
  <c r="E11" i="26"/>
  <c r="E13" i="26"/>
  <c r="E14" i="26"/>
  <c r="E12" i="26"/>
  <c r="E15" i="26"/>
  <c r="E16" i="26"/>
  <c r="E17" i="26"/>
  <c r="E19" i="26"/>
  <c r="E21" i="26"/>
  <c r="E18" i="26"/>
  <c r="E22" i="26"/>
  <c r="E23" i="26"/>
  <c r="E20" i="26"/>
  <c r="E10" i="26"/>
  <c r="AL464" i="31"/>
  <c r="D26" i="26"/>
  <c r="D27" i="26"/>
  <c r="D28" i="26"/>
  <c r="D29" i="26"/>
  <c r="D30" i="26"/>
  <c r="D31" i="26"/>
  <c r="D32" i="26"/>
  <c r="D33" i="26"/>
  <c r="D34" i="26"/>
  <c r="D35" i="26"/>
  <c r="D36" i="26"/>
  <c r="D37" i="26"/>
  <c r="D38" i="26"/>
  <c r="D39" i="26"/>
  <c r="D40" i="26"/>
  <c r="D41" i="26"/>
  <c r="D42" i="26"/>
  <c r="D43" i="26"/>
  <c r="D44" i="26"/>
  <c r="D45" i="26"/>
  <c r="D46" i="26"/>
  <c r="D47" i="26"/>
  <c r="D48" i="26"/>
  <c r="D49" i="26"/>
  <c r="D50" i="26"/>
  <c r="D51" i="26"/>
  <c r="D52" i="26"/>
  <c r="D53" i="26"/>
  <c r="D54" i="26"/>
  <c r="D55" i="26"/>
  <c r="D56" i="26"/>
  <c r="D57" i="26"/>
  <c r="D58" i="26"/>
  <c r="D59" i="26"/>
  <c r="D60" i="26"/>
  <c r="D25" i="26"/>
  <c r="D11" i="26"/>
  <c r="D13" i="26"/>
  <c r="D14" i="26"/>
  <c r="D12" i="26"/>
  <c r="D15" i="26"/>
  <c r="D16" i="26"/>
  <c r="D17" i="26"/>
  <c r="D19" i="26"/>
  <c r="D21" i="26"/>
  <c r="D18" i="26"/>
  <c r="D22" i="26"/>
  <c r="D23" i="26"/>
  <c r="D20" i="26"/>
  <c r="D10" i="26"/>
  <c r="D37" i="28"/>
  <c r="D38" i="28"/>
  <c r="D40" i="28"/>
  <c r="D41" i="28"/>
  <c r="D42" i="28"/>
  <c r="D43" i="28"/>
  <c r="D36" i="28"/>
  <c r="D32" i="28"/>
  <c r="D33" i="28"/>
  <c r="D34" i="28"/>
  <c r="D31" i="28"/>
  <c r="D11" i="28"/>
  <c r="D12" i="28"/>
  <c r="D13" i="28"/>
  <c r="D14" i="28"/>
  <c r="D15" i="28"/>
  <c r="D16" i="28"/>
  <c r="D17" i="28"/>
  <c r="D18" i="28"/>
  <c r="D19" i="28"/>
  <c r="D20" i="28"/>
  <c r="D21" i="28"/>
  <c r="D22" i="28"/>
  <c r="D23" i="28"/>
  <c r="D24" i="28"/>
  <c r="D25" i="28"/>
  <c r="D26" i="28"/>
  <c r="D27" i="28"/>
  <c r="D28" i="28"/>
  <c r="D29" i="28"/>
  <c r="D10" i="28"/>
  <c r="D25" i="21"/>
  <c r="D26" i="21"/>
  <c r="D27" i="21"/>
  <c r="D24" i="21"/>
  <c r="D22" i="21"/>
  <c r="D18" i="21"/>
  <c r="D17" i="21"/>
  <c r="D11" i="21"/>
  <c r="D12" i="21"/>
  <c r="D13" i="21"/>
  <c r="D14" i="21"/>
  <c r="D20" i="21"/>
  <c r="D19" i="21"/>
  <c r="D21" i="21"/>
  <c r="D15" i="21"/>
  <c r="D10" i="21"/>
  <c r="D107" i="20"/>
  <c r="D109" i="20"/>
  <c r="D110" i="20"/>
  <c r="D111" i="20"/>
  <c r="D105" i="20"/>
  <c r="D112" i="20"/>
  <c r="D108" i="20"/>
  <c r="D103" i="20"/>
  <c r="D104" i="20"/>
  <c r="D113" i="20"/>
  <c r="D11" i="20"/>
  <c r="D12" i="20"/>
  <c r="D13" i="20"/>
  <c r="D14" i="20"/>
  <c r="D15" i="20"/>
  <c r="D16" i="20"/>
  <c r="D17" i="20"/>
  <c r="D18" i="20"/>
  <c r="D19" i="20"/>
  <c r="D20" i="20"/>
  <c r="D21" i="20"/>
  <c r="D22" i="20"/>
  <c r="D23" i="20"/>
  <c r="D24" i="20"/>
  <c r="D25" i="20"/>
  <c r="D26" i="20"/>
  <c r="D27" i="20"/>
  <c r="D28" i="20"/>
  <c r="D29" i="20"/>
  <c r="D30" i="20"/>
  <c r="D31" i="20"/>
  <c r="D32" i="20"/>
  <c r="D33" i="20"/>
  <c r="D34" i="20"/>
  <c r="D35" i="20"/>
  <c r="D36" i="20"/>
  <c r="D37" i="20"/>
  <c r="D38" i="20"/>
  <c r="D39" i="20"/>
  <c r="D40" i="20"/>
  <c r="D41" i="20"/>
  <c r="D42" i="20"/>
  <c r="D43" i="20"/>
  <c r="D44" i="20"/>
  <c r="D45" i="20"/>
  <c r="D46" i="20"/>
  <c r="D47" i="20"/>
  <c r="D48" i="20"/>
  <c r="D49" i="20"/>
  <c r="D50" i="20"/>
  <c r="D51" i="20"/>
  <c r="D52" i="20"/>
  <c r="D53" i="20"/>
  <c r="D54" i="20"/>
  <c r="D55" i="20"/>
  <c r="D56" i="20"/>
  <c r="D57" i="20"/>
  <c r="D58" i="20"/>
  <c r="D59" i="20"/>
  <c r="D60" i="20"/>
  <c r="D61" i="20"/>
  <c r="D62" i="20"/>
  <c r="D63" i="20"/>
  <c r="D64" i="20"/>
  <c r="D65" i="20"/>
  <c r="D66" i="20"/>
  <c r="D67" i="20"/>
  <c r="D68" i="20"/>
  <c r="D69" i="20"/>
  <c r="D70" i="20"/>
  <c r="D71" i="20"/>
  <c r="D72" i="20"/>
  <c r="D73" i="20"/>
  <c r="D74" i="20"/>
  <c r="D75" i="20"/>
  <c r="D76" i="20"/>
  <c r="D77" i="20"/>
  <c r="D78" i="20"/>
  <c r="D79" i="20"/>
  <c r="D80" i="20"/>
  <c r="D81" i="20"/>
  <c r="D82" i="20"/>
  <c r="D83" i="20"/>
  <c r="D84" i="20"/>
  <c r="D85" i="20"/>
  <c r="D86" i="20"/>
  <c r="D87" i="20"/>
  <c r="D88" i="20"/>
  <c r="D89" i="20"/>
  <c r="D90" i="20"/>
  <c r="D91" i="20"/>
  <c r="D92" i="20"/>
  <c r="D93" i="20"/>
  <c r="D94" i="20"/>
  <c r="D95" i="20"/>
  <c r="D96" i="20"/>
  <c r="D97" i="20"/>
  <c r="D98" i="20"/>
  <c r="D99" i="20"/>
  <c r="D100" i="20"/>
  <c r="D101" i="20"/>
  <c r="D10" i="20"/>
  <c r="AD25" i="31" l="1"/>
  <c r="AD26" i="31"/>
  <c r="AD24" i="31"/>
  <c r="O467" i="31" l="1"/>
  <c r="O458" i="31" s="1"/>
  <c r="Q467" i="31"/>
  <c r="Q458" i="31" s="1"/>
  <c r="R467" i="31"/>
  <c r="R458" i="31" s="1"/>
  <c r="S467" i="31"/>
  <c r="S458" i="31" s="1"/>
  <c r="T467" i="31"/>
  <c r="T458" i="31" s="1"/>
  <c r="U467" i="31"/>
  <c r="U458" i="31" s="1"/>
  <c r="V467" i="31"/>
  <c r="V458" i="31" s="1"/>
  <c r="W467" i="31"/>
  <c r="W458" i="31" s="1"/>
  <c r="X467" i="31"/>
  <c r="X458" i="31" s="1"/>
  <c r="Y467" i="31"/>
  <c r="Y458" i="31" s="1"/>
  <c r="Z467" i="31"/>
  <c r="Z458" i="31" s="1"/>
  <c r="AA467" i="31"/>
  <c r="AB467" i="31"/>
  <c r="AB458" i="31" s="1"/>
  <c r="AC467" i="31"/>
  <c r="N467" i="31"/>
  <c r="O411" i="31"/>
  <c r="Q411" i="31"/>
  <c r="R411" i="31"/>
  <c r="S411" i="31"/>
  <c r="T411" i="31"/>
  <c r="T395" i="31" s="1"/>
  <c r="U411" i="31"/>
  <c r="V411" i="31"/>
  <c r="V395" i="31" s="1"/>
  <c r="W411" i="31"/>
  <c r="X411" i="31"/>
  <c r="X395" i="31" s="1"/>
  <c r="Y411" i="31"/>
  <c r="Z411" i="31"/>
  <c r="AA411" i="31"/>
  <c r="AB411" i="31"/>
  <c r="AB395" i="31" s="1"/>
  <c r="AC411" i="31"/>
  <c r="O395" i="31"/>
  <c r="Q395" i="31"/>
  <c r="R395" i="31"/>
  <c r="S395" i="31"/>
  <c r="U395" i="31"/>
  <c r="W395" i="31"/>
  <c r="Y395" i="31"/>
  <c r="Z395" i="31"/>
  <c r="N376" i="31"/>
  <c r="O376" i="31"/>
  <c r="Q376" i="31"/>
  <c r="R376" i="31"/>
  <c r="S376" i="31"/>
  <c r="T376" i="31"/>
  <c r="W376" i="31"/>
  <c r="Y376" i="31"/>
  <c r="O372" i="31"/>
  <c r="P372" i="31"/>
  <c r="Q372" i="31"/>
  <c r="R372" i="31"/>
  <c r="S372" i="31"/>
  <c r="V372" i="31"/>
  <c r="W372" i="31"/>
  <c r="Y372" i="31"/>
  <c r="N372" i="31"/>
  <c r="O320" i="31"/>
  <c r="R320" i="31"/>
  <c r="T320" i="31"/>
  <c r="W320" i="31"/>
  <c r="Y320" i="31"/>
  <c r="N310" i="31"/>
  <c r="O310" i="31"/>
  <c r="P310" i="31"/>
  <c r="Q310" i="31"/>
  <c r="R310" i="31"/>
  <c r="S310" i="31"/>
  <c r="W310" i="31"/>
  <c r="X310" i="31"/>
  <c r="W307" i="31"/>
  <c r="W290" i="31"/>
  <c r="X290" i="31"/>
  <c r="X289" i="31" s="1"/>
  <c r="W282" i="31"/>
  <c r="Y282" i="31"/>
  <c r="W257" i="31"/>
  <c r="Y257" i="31"/>
  <c r="W251" i="31"/>
  <c r="Y251" i="31"/>
  <c r="W247" i="31"/>
  <c r="N232" i="31"/>
  <c r="O232" i="31"/>
  <c r="Q232" i="31"/>
  <c r="R232" i="31"/>
  <c r="S232" i="31"/>
  <c r="T232" i="31"/>
  <c r="U232" i="31"/>
  <c r="V232" i="31"/>
  <c r="W232" i="31"/>
  <c r="X232" i="31"/>
  <c r="Y232" i="31"/>
  <c r="AA232" i="31"/>
  <c r="AB232" i="31"/>
  <c r="AC232" i="31"/>
  <c r="O225" i="31"/>
  <c r="P225" i="31"/>
  <c r="Q225" i="31"/>
  <c r="R225" i="31"/>
  <c r="S225" i="31"/>
  <c r="T225" i="31"/>
  <c r="W225" i="31"/>
  <c r="Y225" i="31"/>
  <c r="N225" i="31"/>
  <c r="W222" i="31"/>
  <c r="Y222" i="31"/>
  <c r="U219" i="31"/>
  <c r="W219" i="31"/>
  <c r="Y219" i="31"/>
  <c r="AA305" i="31"/>
  <c r="AB305" i="31"/>
  <c r="AC305" i="31"/>
  <c r="AD305" i="31"/>
  <c r="AE305" i="31"/>
  <c r="AA306" i="31"/>
  <c r="AB306" i="31"/>
  <c r="AC306" i="31"/>
  <c r="AD306" i="31"/>
  <c r="AE306" i="31"/>
  <c r="AE304" i="31"/>
  <c r="AD304" i="31"/>
  <c r="AC304" i="31"/>
  <c r="AB304" i="31"/>
  <c r="AA304" i="31"/>
  <c r="Z373" i="31"/>
  <c r="Z374" i="31"/>
  <c r="Z215" i="31"/>
  <c r="AE25" i="31"/>
  <c r="AE26" i="31"/>
  <c r="AE24" i="31"/>
  <c r="P407" i="31"/>
  <c r="P406" i="31"/>
  <c r="K226" i="36" l="1"/>
  <c r="AD508" i="31" l="1"/>
  <c r="AE508" i="31" s="1"/>
  <c r="AD450" i="31" l="1"/>
  <c r="AD456" i="31"/>
  <c r="AD412" i="31"/>
  <c r="AD188" i="31"/>
  <c r="AD398" i="31" l="1"/>
  <c r="AD507" i="31" l="1"/>
  <c r="AE507" i="31" s="1"/>
  <c r="C104" i="20" l="1"/>
  <c r="E104" i="20"/>
  <c r="F104" i="20"/>
  <c r="G104" i="20"/>
  <c r="H104" i="20"/>
  <c r="I104" i="20"/>
  <c r="J104" i="20"/>
  <c r="K104" i="20"/>
  <c r="L104" i="20"/>
  <c r="M104" i="20"/>
  <c r="N104" i="20" l="1"/>
  <c r="AD506" i="31"/>
  <c r="AE506" i="31" s="1"/>
  <c r="AD215" i="31" l="1"/>
  <c r="AE215" i="31" s="1"/>
  <c r="AD505" i="31"/>
  <c r="AE505" i="31" s="1"/>
  <c r="D13" i="34" l="1"/>
  <c r="T315" i="31"/>
  <c r="U315" i="31" l="1"/>
  <c r="F128" i="38"/>
  <c r="G128" i="38" s="1"/>
  <c r="E127" i="38"/>
  <c r="F127" i="38" s="1"/>
  <c r="G127" i="38" s="1"/>
  <c r="H126" i="38"/>
  <c r="H127" i="38" s="1"/>
  <c r="F126" i="38"/>
  <c r="G126" i="38" s="1"/>
  <c r="E124" i="38"/>
  <c r="F124" i="38" s="1"/>
  <c r="G124" i="38" s="1"/>
  <c r="H123" i="38"/>
  <c r="H124" i="38" s="1"/>
  <c r="F123" i="38"/>
  <c r="G123" i="38" s="1"/>
  <c r="F121" i="38"/>
  <c r="G121" i="38" s="1"/>
  <c r="F120" i="38"/>
  <c r="G120" i="38" s="1"/>
  <c r="F119" i="38"/>
  <c r="G119" i="38" s="1"/>
  <c r="F118" i="38"/>
  <c r="G118" i="38" s="1"/>
  <c r="F117" i="38"/>
  <c r="G117" i="38" s="1"/>
  <c r="F116" i="38"/>
  <c r="G116" i="38" s="1"/>
  <c r="F115" i="38"/>
  <c r="G115" i="38" s="1"/>
  <c r="H114" i="38"/>
  <c r="H115" i="38" s="1"/>
  <c r="H116" i="38" s="1"/>
  <c r="F114" i="38"/>
  <c r="G114" i="38" s="1"/>
  <c r="I114" i="38" s="1"/>
  <c r="M114" i="38" s="1"/>
  <c r="F112" i="38"/>
  <c r="G112" i="38" s="1"/>
  <c r="F111" i="38"/>
  <c r="G111" i="38" s="1"/>
  <c r="F110" i="38"/>
  <c r="G110" i="38" s="1"/>
  <c r="F109" i="38"/>
  <c r="G109" i="38" s="1"/>
  <c r="F108" i="38"/>
  <c r="G108" i="38" s="1"/>
  <c r="F107" i="38"/>
  <c r="G107" i="38" s="1"/>
  <c r="F106" i="38"/>
  <c r="G106" i="38" s="1"/>
  <c r="F105" i="38"/>
  <c r="G105" i="38" s="1"/>
  <c r="H104" i="38"/>
  <c r="H105" i="38" s="1"/>
  <c r="H106" i="38" s="1"/>
  <c r="H107" i="38" s="1"/>
  <c r="H108" i="38" s="1"/>
  <c r="H109" i="38" s="1"/>
  <c r="H110" i="38" s="1"/>
  <c r="H111" i="38" s="1"/>
  <c r="F104" i="38"/>
  <c r="G104" i="38" s="1"/>
  <c r="D102" i="38"/>
  <c r="F101" i="38"/>
  <c r="G101" i="38" s="1"/>
  <c r="F100" i="38"/>
  <c r="G100" i="38" s="1"/>
  <c r="F99" i="38"/>
  <c r="G99" i="38" s="1"/>
  <c r="F98" i="38"/>
  <c r="G98" i="38" s="1"/>
  <c r="F97" i="38"/>
  <c r="G97" i="38" s="1"/>
  <c r="F96" i="38"/>
  <c r="G96" i="38" s="1"/>
  <c r="F95" i="38"/>
  <c r="G95" i="38" s="1"/>
  <c r="F94" i="38"/>
  <c r="G94" i="38" s="1"/>
  <c r="F93" i="38"/>
  <c r="G93" i="38" s="1"/>
  <c r="H92" i="38"/>
  <c r="H93" i="38" s="1"/>
  <c r="H94" i="38" s="1"/>
  <c r="H95" i="38" s="1"/>
  <c r="H96" i="38" s="1"/>
  <c r="H97" i="38" s="1"/>
  <c r="F92" i="38"/>
  <c r="G92" i="38" s="1"/>
  <c r="I92" i="38" s="1"/>
  <c r="F90" i="38"/>
  <c r="G90" i="38" s="1"/>
  <c r="F89" i="38"/>
  <c r="G89" i="38" s="1"/>
  <c r="F88" i="38"/>
  <c r="G88" i="38" s="1"/>
  <c r="F87" i="38"/>
  <c r="G87" i="38" s="1"/>
  <c r="F86" i="38"/>
  <c r="G86" i="38" s="1"/>
  <c r="F85" i="38"/>
  <c r="G85" i="38" s="1"/>
  <c r="F84" i="38"/>
  <c r="G84" i="38" s="1"/>
  <c r="F83" i="38"/>
  <c r="G83" i="38" s="1"/>
  <c r="H82" i="38"/>
  <c r="H83" i="38" s="1"/>
  <c r="H84" i="38" s="1"/>
  <c r="H85" i="38" s="1"/>
  <c r="H86" i="38" s="1"/>
  <c r="H87" i="38" s="1"/>
  <c r="H88" i="38" s="1"/>
  <c r="H89" i="38" s="1"/>
  <c r="H90" i="38" s="1"/>
  <c r="F82" i="38"/>
  <c r="G82" i="38" s="1"/>
  <c r="I82" i="38" s="1"/>
  <c r="M82" i="38" s="1"/>
  <c r="F80" i="38"/>
  <c r="G80" i="38" s="1"/>
  <c r="F79" i="38"/>
  <c r="G79" i="38" s="1"/>
  <c r="F78" i="38"/>
  <c r="G78" i="38" s="1"/>
  <c r="F77" i="38"/>
  <c r="G77" i="38" s="1"/>
  <c r="F76" i="38"/>
  <c r="G76" i="38" s="1"/>
  <c r="F75" i="38"/>
  <c r="G75" i="38" s="1"/>
  <c r="F74" i="38"/>
  <c r="G74" i="38" s="1"/>
  <c r="F73" i="38"/>
  <c r="G73" i="38" s="1"/>
  <c r="F72" i="38"/>
  <c r="G72" i="38" s="1"/>
  <c r="H71" i="38"/>
  <c r="H72" i="38" s="1"/>
  <c r="H73" i="38" s="1"/>
  <c r="H74" i="38" s="1"/>
  <c r="H75" i="38" s="1"/>
  <c r="F71" i="38"/>
  <c r="G71" i="38" s="1"/>
  <c r="I71" i="38" s="1"/>
  <c r="F69" i="38"/>
  <c r="G69" i="38" s="1"/>
  <c r="F68" i="38"/>
  <c r="G68" i="38" s="1"/>
  <c r="F67" i="38"/>
  <c r="G67" i="38" s="1"/>
  <c r="F66" i="38"/>
  <c r="G66" i="38" s="1"/>
  <c r="F65" i="38"/>
  <c r="G65" i="38" s="1"/>
  <c r="F64" i="38"/>
  <c r="G64" i="38" s="1"/>
  <c r="F63" i="38"/>
  <c r="G63" i="38" s="1"/>
  <c r="F62" i="38"/>
  <c r="G62" i="38" s="1"/>
  <c r="F61" i="38"/>
  <c r="G61" i="38" s="1"/>
  <c r="F60" i="38"/>
  <c r="G60" i="38" s="1"/>
  <c r="F59" i="38"/>
  <c r="G59" i="38" s="1"/>
  <c r="F58" i="38"/>
  <c r="G58" i="38" s="1"/>
  <c r="H57" i="38"/>
  <c r="H58" i="38" s="1"/>
  <c r="H59" i="38" s="1"/>
  <c r="H60" i="38" s="1"/>
  <c r="H61" i="38" s="1"/>
  <c r="H62" i="38" s="1"/>
  <c r="F57" i="38"/>
  <c r="G57" i="38" s="1"/>
  <c r="F55" i="38"/>
  <c r="G55" i="38" s="1"/>
  <c r="F54" i="38"/>
  <c r="G54" i="38" s="1"/>
  <c r="F53" i="38"/>
  <c r="G53" i="38" s="1"/>
  <c r="F52" i="38"/>
  <c r="G52" i="38" s="1"/>
  <c r="F51" i="38"/>
  <c r="G51" i="38" s="1"/>
  <c r="H50" i="38"/>
  <c r="H51" i="38" s="1"/>
  <c r="H52" i="38" s="1"/>
  <c r="H53" i="38" s="1"/>
  <c r="F50" i="38"/>
  <c r="G50" i="38" s="1"/>
  <c r="I50" i="38" s="1"/>
  <c r="L50" i="38" s="1"/>
  <c r="F48" i="38"/>
  <c r="G48" i="38" s="1"/>
  <c r="F47" i="38"/>
  <c r="G47" i="38" s="1"/>
  <c r="H46" i="38"/>
  <c r="H47" i="38" s="1"/>
  <c r="H48" i="38" s="1"/>
  <c r="I48" i="38" s="1"/>
  <c r="F46" i="38"/>
  <c r="G46" i="38" s="1"/>
  <c r="I46" i="38" s="1"/>
  <c r="M46" i="38" s="1"/>
  <c r="F44" i="38"/>
  <c r="G44" i="38" s="1"/>
  <c r="F43" i="38"/>
  <c r="G43" i="38" s="1"/>
  <c r="F42" i="38"/>
  <c r="G42" i="38" s="1"/>
  <c r="F41" i="38"/>
  <c r="G41" i="38" s="1"/>
  <c r="F40" i="38"/>
  <c r="G40" i="38" s="1"/>
  <c r="F39" i="38"/>
  <c r="G39" i="38" s="1"/>
  <c r="G38" i="38"/>
  <c r="G37" i="38"/>
  <c r="F37" i="38"/>
  <c r="F36" i="38"/>
  <c r="G36" i="38" s="1"/>
  <c r="F35" i="38"/>
  <c r="G35" i="38" s="1"/>
  <c r="F34" i="38"/>
  <c r="G34" i="38" s="1"/>
  <c r="F33" i="38"/>
  <c r="G33" i="38" s="1"/>
  <c r="F32" i="38"/>
  <c r="G32" i="38" s="1"/>
  <c r="F31" i="38"/>
  <c r="G31" i="38" s="1"/>
  <c r="F30" i="38"/>
  <c r="G30" i="38" s="1"/>
  <c r="F29" i="38"/>
  <c r="G29" i="38" s="1"/>
  <c r="F28" i="38"/>
  <c r="G28" i="38" s="1"/>
  <c r="F27" i="38"/>
  <c r="G27" i="38" s="1"/>
  <c r="F26" i="38"/>
  <c r="G26" i="38" s="1"/>
  <c r="F25" i="38"/>
  <c r="G25" i="38" s="1"/>
  <c r="F24" i="38"/>
  <c r="G24" i="38" s="1"/>
  <c r="F23" i="38"/>
  <c r="G23" i="38" s="1"/>
  <c r="F22" i="38"/>
  <c r="G22" i="38" s="1"/>
  <c r="F21" i="38"/>
  <c r="G21" i="38" s="1"/>
  <c r="F20" i="38"/>
  <c r="G20" i="38" s="1"/>
  <c r="F19" i="38"/>
  <c r="G19" i="38" s="1"/>
  <c r="F18" i="38"/>
  <c r="G18" i="38" s="1"/>
  <c r="H17" i="38"/>
  <c r="H18" i="38" s="1"/>
  <c r="F17" i="38"/>
  <c r="G17" i="38" s="1"/>
  <c r="D15" i="38"/>
  <c r="D9" i="38"/>
  <c r="D8" i="38"/>
  <c r="D7" i="38"/>
  <c r="D6" i="38"/>
  <c r="D5" i="38"/>
  <c r="D4" i="38"/>
  <c r="D3" i="38"/>
  <c r="D2" i="38"/>
  <c r="D10" i="38" s="1"/>
  <c r="I47" i="38" l="1"/>
  <c r="I126" i="38"/>
  <c r="I106" i="38"/>
  <c r="I93" i="38"/>
  <c r="I104" i="38"/>
  <c r="L104" i="38" s="1"/>
  <c r="I107" i="38"/>
  <c r="I123" i="38"/>
  <c r="M123" i="38" s="1"/>
  <c r="I124" i="38"/>
  <c r="I58" i="38"/>
  <c r="I73" i="38"/>
  <c r="I95" i="38"/>
  <c r="L95" i="38" s="1"/>
  <c r="I105" i="38"/>
  <c r="I84" i="38"/>
  <c r="I17" i="38"/>
  <c r="L17" i="38" s="1"/>
  <c r="I88" i="38"/>
  <c r="M88" i="38" s="1"/>
  <c r="H54" i="38"/>
  <c r="H55" i="38"/>
  <c r="I53" i="38"/>
  <c r="I18" i="38"/>
  <c r="H19" i="38"/>
  <c r="H20" i="38" s="1"/>
  <c r="H21" i="38" s="1"/>
  <c r="M48" i="38"/>
  <c r="L48" i="38"/>
  <c r="N48" i="38" s="1"/>
  <c r="M58" i="38"/>
  <c r="L58" i="38"/>
  <c r="H63" i="38"/>
  <c r="H64" i="38" s="1"/>
  <c r="H65" i="38" s="1"/>
  <c r="H66" i="38" s="1"/>
  <c r="H67" i="38" s="1"/>
  <c r="I62" i="38"/>
  <c r="I57" i="38"/>
  <c r="I60" i="38"/>
  <c r="I63" i="38"/>
  <c r="M71" i="38"/>
  <c r="L71" i="38"/>
  <c r="M95" i="38"/>
  <c r="L46" i="38"/>
  <c r="N46" i="38" s="1"/>
  <c r="M47" i="38"/>
  <c r="L47" i="38"/>
  <c r="I52" i="38"/>
  <c r="I55" i="38"/>
  <c r="I59" i="38"/>
  <c r="L88" i="38"/>
  <c r="M93" i="38"/>
  <c r="L93" i="38"/>
  <c r="M106" i="38"/>
  <c r="L106" i="38"/>
  <c r="H112" i="38"/>
  <c r="I112" i="38" s="1"/>
  <c r="I111" i="38"/>
  <c r="H117" i="38"/>
  <c r="H118" i="38" s="1"/>
  <c r="H119" i="38" s="1"/>
  <c r="H120" i="38" s="1"/>
  <c r="I116" i="38"/>
  <c r="L124" i="38"/>
  <c r="M124" i="38"/>
  <c r="M8" i="38" s="1"/>
  <c r="E38" i="34" s="1"/>
  <c r="I61" i="38"/>
  <c r="I64" i="38"/>
  <c r="L73" i="38"/>
  <c r="M73" i="38"/>
  <c r="H98" i="38"/>
  <c r="H99" i="38" s="1"/>
  <c r="H100" i="38" s="1"/>
  <c r="H101" i="38" s="1"/>
  <c r="H102" i="38" s="1"/>
  <c r="I97" i="38"/>
  <c r="M107" i="38"/>
  <c r="L107" i="38"/>
  <c r="I117" i="38"/>
  <c r="M50" i="38"/>
  <c r="N50" i="38" s="1"/>
  <c r="I51" i="38"/>
  <c r="I54" i="38"/>
  <c r="H76" i="38"/>
  <c r="H77" i="38" s="1"/>
  <c r="H78" i="38" s="1"/>
  <c r="H79" i="38" s="1"/>
  <c r="H80" i="38" s="1"/>
  <c r="I80" i="38" s="1"/>
  <c r="I75" i="38"/>
  <c r="M84" i="38"/>
  <c r="N84" i="38" s="1"/>
  <c r="L84" i="38"/>
  <c r="M92" i="38"/>
  <c r="L92" i="38"/>
  <c r="I109" i="38"/>
  <c r="M126" i="38"/>
  <c r="L126" i="38"/>
  <c r="N126" i="38" s="1"/>
  <c r="I72" i="38"/>
  <c r="I87" i="38"/>
  <c r="I90" i="38"/>
  <c r="I94" i="38"/>
  <c r="M104" i="38"/>
  <c r="N104" i="38" s="1"/>
  <c r="L105" i="38"/>
  <c r="I108" i="38"/>
  <c r="I78" i="38"/>
  <c r="L82" i="38"/>
  <c r="N82" i="38"/>
  <c r="I83" i="38"/>
  <c r="I86" i="38"/>
  <c r="I89" i="38"/>
  <c r="M105" i="38"/>
  <c r="N105" i="38" s="1"/>
  <c r="I119" i="38"/>
  <c r="L123" i="38"/>
  <c r="N123" i="38" s="1"/>
  <c r="I65" i="38"/>
  <c r="I74" i="38"/>
  <c r="I85" i="38"/>
  <c r="I96" i="38"/>
  <c r="I99" i="38"/>
  <c r="F102" i="38"/>
  <c r="F15" i="38" s="1"/>
  <c r="I110" i="38"/>
  <c r="L114" i="38"/>
  <c r="N114" i="38" s="1"/>
  <c r="I115" i="38"/>
  <c r="I118" i="38"/>
  <c r="I127" i="38"/>
  <c r="AD238" i="31"/>
  <c r="C26" i="30"/>
  <c r="D33" i="30"/>
  <c r="D34" i="30"/>
  <c r="C9" i="30"/>
  <c r="M17" i="38" l="1"/>
  <c r="N8" i="38"/>
  <c r="N124" i="38"/>
  <c r="N93" i="38"/>
  <c r="I66" i="38"/>
  <c r="I20" i="38"/>
  <c r="M20" i="38" s="1"/>
  <c r="N106" i="38"/>
  <c r="N95" i="38"/>
  <c r="N58" i="38"/>
  <c r="I19" i="38"/>
  <c r="M19" i="38" s="1"/>
  <c r="AE238" i="31"/>
  <c r="I77" i="38"/>
  <c r="L77" i="38" s="1"/>
  <c r="G102" i="38"/>
  <c r="I102" i="38" s="1"/>
  <c r="N92" i="38"/>
  <c r="N107" i="38"/>
  <c r="I79" i="38"/>
  <c r="M79" i="38" s="1"/>
  <c r="I76" i="38"/>
  <c r="N88" i="38"/>
  <c r="N71" i="38"/>
  <c r="N73" i="38"/>
  <c r="M127" i="38"/>
  <c r="L127" i="38"/>
  <c r="L99" i="38"/>
  <c r="M99" i="38"/>
  <c r="L65" i="38"/>
  <c r="M65" i="38"/>
  <c r="M83" i="38"/>
  <c r="L83" i="38"/>
  <c r="M108" i="38"/>
  <c r="L108" i="38"/>
  <c r="M72" i="38"/>
  <c r="L72" i="38"/>
  <c r="I100" i="38"/>
  <c r="M94" i="38"/>
  <c r="L94" i="38"/>
  <c r="L109" i="38"/>
  <c r="M109" i="38"/>
  <c r="M117" i="38"/>
  <c r="L117" i="38"/>
  <c r="M61" i="38"/>
  <c r="L61" i="38"/>
  <c r="I98" i="38"/>
  <c r="L55" i="38"/>
  <c r="M55" i="38"/>
  <c r="M63" i="38"/>
  <c r="L63" i="38"/>
  <c r="M62" i="38"/>
  <c r="L62" i="38"/>
  <c r="M53" i="38"/>
  <c r="L53" i="38"/>
  <c r="M9" i="38"/>
  <c r="E42" i="34" s="1"/>
  <c r="M75" i="38"/>
  <c r="L75" i="38"/>
  <c r="L79" i="38"/>
  <c r="L64" i="38"/>
  <c r="M64" i="38"/>
  <c r="M111" i="38"/>
  <c r="L111" i="38"/>
  <c r="M59" i="38"/>
  <c r="L59" i="38"/>
  <c r="I101" i="38"/>
  <c r="M76" i="38"/>
  <c r="L76" i="38"/>
  <c r="M66" i="38"/>
  <c r="L66" i="38"/>
  <c r="G15" i="38"/>
  <c r="M18" i="38"/>
  <c r="L18" i="38"/>
  <c r="L118" i="38"/>
  <c r="M118" i="38"/>
  <c r="M110" i="38"/>
  <c r="L110" i="38"/>
  <c r="M96" i="38"/>
  <c r="L96" i="38"/>
  <c r="M74" i="38"/>
  <c r="L74" i="38"/>
  <c r="M115" i="38"/>
  <c r="L115" i="38"/>
  <c r="M85" i="38"/>
  <c r="L85" i="38"/>
  <c r="M89" i="38"/>
  <c r="L89" i="38"/>
  <c r="L90" i="38"/>
  <c r="M90" i="38"/>
  <c r="M54" i="38"/>
  <c r="L54" i="38"/>
  <c r="M112" i="38"/>
  <c r="L112" i="38"/>
  <c r="M97" i="38"/>
  <c r="L97" i="38"/>
  <c r="M116" i="38"/>
  <c r="L116" i="38"/>
  <c r="M52" i="38"/>
  <c r="L52" i="38"/>
  <c r="L60" i="38"/>
  <c r="M60" i="38"/>
  <c r="H68" i="38"/>
  <c r="I67" i="38"/>
  <c r="N17" i="38"/>
  <c r="M102" i="38"/>
  <c r="L102" i="38"/>
  <c r="M80" i="38"/>
  <c r="L80" i="38"/>
  <c r="M119" i="38"/>
  <c r="L119" i="38"/>
  <c r="L86" i="38"/>
  <c r="M86" i="38"/>
  <c r="M78" i="38"/>
  <c r="L78" i="38"/>
  <c r="M87" i="38"/>
  <c r="L87" i="38"/>
  <c r="L51" i="38"/>
  <c r="M51" i="38"/>
  <c r="H121" i="38"/>
  <c r="I120" i="38"/>
  <c r="N47" i="38"/>
  <c r="M57" i="38"/>
  <c r="L57" i="38"/>
  <c r="H22" i="38"/>
  <c r="I21" i="38"/>
  <c r="L19" i="38" l="1"/>
  <c r="L20" i="38"/>
  <c r="N119" i="38"/>
  <c r="N102" i="38"/>
  <c r="N116" i="38"/>
  <c r="N96" i="38"/>
  <c r="N108" i="38"/>
  <c r="N83" i="38"/>
  <c r="N65" i="38"/>
  <c r="M77" i="38"/>
  <c r="N110" i="38"/>
  <c r="N118" i="38"/>
  <c r="N59" i="38"/>
  <c r="N75" i="38"/>
  <c r="N53" i="38"/>
  <c r="N19" i="38"/>
  <c r="N127" i="38"/>
  <c r="N9" i="38" s="1"/>
  <c r="N77" i="38"/>
  <c r="N57" i="38"/>
  <c r="N51" i="38"/>
  <c r="N87" i="38"/>
  <c r="N86" i="38"/>
  <c r="N80" i="38"/>
  <c r="N52" i="38"/>
  <c r="N97" i="38"/>
  <c r="N112" i="38"/>
  <c r="N89" i="38"/>
  <c r="N85" i="38"/>
  <c r="N115" i="38"/>
  <c r="N66" i="38"/>
  <c r="N76" i="38"/>
  <c r="N79" i="38"/>
  <c r="N20" i="38"/>
  <c r="N62" i="38"/>
  <c r="N61" i="38"/>
  <c r="N94" i="38"/>
  <c r="N99" i="38"/>
  <c r="N90" i="38"/>
  <c r="N74" i="38"/>
  <c r="N64" i="38"/>
  <c r="N55" i="38"/>
  <c r="N117" i="38"/>
  <c r="N72" i="38"/>
  <c r="N78" i="38"/>
  <c r="N60" i="38"/>
  <c r="N54" i="38"/>
  <c r="N111" i="38"/>
  <c r="N63" i="38"/>
  <c r="N109" i="38"/>
  <c r="M98" i="38"/>
  <c r="L98" i="38"/>
  <c r="M120" i="38"/>
  <c r="L120" i="38"/>
  <c r="M67" i="38"/>
  <c r="L67" i="38"/>
  <c r="N67" i="38" s="1"/>
  <c r="M100" i="38"/>
  <c r="L100" i="38"/>
  <c r="N100" i="38" s="1"/>
  <c r="M21" i="38"/>
  <c r="L21" i="38"/>
  <c r="N21" i="38" s="1"/>
  <c r="H23" i="38"/>
  <c r="I22" i="38"/>
  <c r="N18" i="38"/>
  <c r="M101" i="38"/>
  <c r="L101" i="38"/>
  <c r="H128" i="38"/>
  <c r="I128" i="38" s="1"/>
  <c r="I121" i="38"/>
  <c r="H69" i="38"/>
  <c r="I69" i="38" s="1"/>
  <c r="I68" i="38"/>
  <c r="N98" i="38" l="1"/>
  <c r="N101" i="38"/>
  <c r="N120" i="38"/>
  <c r="M69" i="38"/>
  <c r="L69" i="38"/>
  <c r="M121" i="38"/>
  <c r="L121" i="38"/>
  <c r="L22" i="38"/>
  <c r="M22" i="38"/>
  <c r="M128" i="38"/>
  <c r="L128" i="38"/>
  <c r="H24" i="38"/>
  <c r="I23" i="38"/>
  <c r="M68" i="38"/>
  <c r="L68" i="38"/>
  <c r="N68" i="38" s="1"/>
  <c r="N128" i="38" l="1"/>
  <c r="N69" i="38"/>
  <c r="N121" i="38"/>
  <c r="H25" i="38"/>
  <c r="I24" i="38"/>
  <c r="N22" i="38"/>
  <c r="L23" i="38"/>
  <c r="M23" i="38"/>
  <c r="H26" i="38" l="1"/>
  <c r="I25" i="38"/>
  <c r="N23" i="38"/>
  <c r="M24" i="38"/>
  <c r="L24" i="38"/>
  <c r="M25" i="38" l="1"/>
  <c r="L25" i="38"/>
  <c r="H27" i="38"/>
  <c r="I26" i="38"/>
  <c r="N24" i="38"/>
  <c r="N25" i="38" l="1"/>
  <c r="L26" i="38"/>
  <c r="M26" i="38"/>
  <c r="H28" i="38"/>
  <c r="I27" i="38"/>
  <c r="N26" i="38" l="1"/>
  <c r="H29" i="38"/>
  <c r="I28" i="38"/>
  <c r="L27" i="38"/>
  <c r="M27" i="38"/>
  <c r="N27" i="38" l="1"/>
  <c r="T316" i="31" s="1"/>
  <c r="U316" i="31" s="1"/>
  <c r="M28" i="38"/>
  <c r="L28" i="38"/>
  <c r="H30" i="38"/>
  <c r="I29" i="38"/>
  <c r="N28" i="38" l="1"/>
  <c r="H31" i="38"/>
  <c r="I30" i="38"/>
  <c r="M29" i="38"/>
  <c r="L29" i="38"/>
  <c r="N29" i="38" l="1"/>
  <c r="L30" i="38"/>
  <c r="M30" i="38"/>
  <c r="H32" i="38"/>
  <c r="I31" i="38"/>
  <c r="N30" i="38" l="1"/>
  <c r="H33" i="38"/>
  <c r="I32" i="38"/>
  <c r="L31" i="38"/>
  <c r="M31" i="38"/>
  <c r="N31" i="38" l="1"/>
  <c r="M32" i="38"/>
  <c r="L32" i="38"/>
  <c r="N32" i="38" s="1"/>
  <c r="H34" i="38"/>
  <c r="I33" i="38"/>
  <c r="M33" i="38" l="1"/>
  <c r="L33" i="38"/>
  <c r="H35" i="38"/>
  <c r="I34" i="38"/>
  <c r="N33" i="38" l="1"/>
  <c r="H36" i="38"/>
  <c r="I35" i="38"/>
  <c r="L34" i="38"/>
  <c r="M34" i="38"/>
  <c r="M3" i="38" s="1"/>
  <c r="E18" i="34" s="1"/>
  <c r="N34" i="38" l="1"/>
  <c r="N3" i="38"/>
  <c r="L35" i="38"/>
  <c r="M35" i="38"/>
  <c r="N35" i="38" s="1"/>
  <c r="H37" i="38"/>
  <c r="I36" i="38"/>
  <c r="H38" i="38" l="1"/>
  <c r="I37" i="38"/>
  <c r="M4" i="38"/>
  <c r="E22" i="34" s="1"/>
  <c r="M36" i="38"/>
  <c r="L36" i="38"/>
  <c r="N36" i="38" l="1"/>
  <c r="N4" i="38" s="1"/>
  <c r="M37" i="38"/>
  <c r="L37" i="38"/>
  <c r="N37" i="38" s="1"/>
  <c r="H39" i="38"/>
  <c r="I38" i="38"/>
  <c r="H40" i="38" l="1"/>
  <c r="I39" i="38"/>
  <c r="M38" i="38"/>
  <c r="L38" i="38"/>
  <c r="N38" i="38" l="1"/>
  <c r="M39" i="38"/>
  <c r="M5" i="38" s="1"/>
  <c r="E26" i="34" s="1"/>
  <c r="L39" i="38"/>
  <c r="H41" i="38"/>
  <c r="I40" i="38"/>
  <c r="N39" i="38" l="1"/>
  <c r="N5" i="38" s="1"/>
  <c r="H42" i="38"/>
  <c r="I41" i="38"/>
  <c r="M40" i="38"/>
  <c r="L40" i="38"/>
  <c r="N40" i="38" l="1"/>
  <c r="L41" i="38"/>
  <c r="M41" i="38"/>
  <c r="N41" i="38" s="1"/>
  <c r="H43" i="38"/>
  <c r="I42" i="38"/>
  <c r="H44" i="38" l="1"/>
  <c r="I44" i="38" s="1"/>
  <c r="I43" i="38"/>
  <c r="M42" i="38"/>
  <c r="M6" i="38" s="1"/>
  <c r="E30" i="34" s="1"/>
  <c r="L42" i="38"/>
  <c r="N42" i="38" l="1"/>
  <c r="N6" i="38" s="1"/>
  <c r="M43" i="38"/>
  <c r="L43" i="38"/>
  <c r="N43" i="38" s="1"/>
  <c r="M44" i="38"/>
  <c r="L44" i="38"/>
  <c r="L15" i="38" s="1"/>
  <c r="I15" i="38"/>
  <c r="M7" i="38" l="1"/>
  <c r="E34" i="34" s="1"/>
  <c r="N44" i="38"/>
  <c r="N2" i="38" s="1"/>
  <c r="N7" i="38"/>
  <c r="M2" i="38"/>
  <c r="M15" i="38"/>
  <c r="N15" i="38" l="1"/>
  <c r="N10" i="38"/>
  <c r="N12" i="38" s="1"/>
  <c r="D10" i="32" s="1"/>
  <c r="M10" i="38"/>
  <c r="M12" i="38" s="1"/>
  <c r="E14" i="34"/>
  <c r="E13" i="34" s="1"/>
  <c r="R10" i="28"/>
  <c r="R11" i="28"/>
  <c r="R12" i="28"/>
  <c r="R13" i="28"/>
  <c r="R14" i="28"/>
  <c r="R15" i="28"/>
  <c r="R16" i="28"/>
  <c r="R17" i="28"/>
  <c r="R18" i="28"/>
  <c r="R19" i="28"/>
  <c r="R20" i="28"/>
  <c r="R21" i="28"/>
  <c r="R22" i="28"/>
  <c r="R23" i="28"/>
  <c r="R24" i="28"/>
  <c r="R25" i="28"/>
  <c r="R26" i="28"/>
  <c r="R27" i="28"/>
  <c r="R28" i="28"/>
  <c r="R29" i="28"/>
  <c r="R31" i="28"/>
  <c r="R32" i="28"/>
  <c r="R33" i="28"/>
  <c r="AD242" i="31"/>
  <c r="E14" i="32"/>
  <c r="D11" i="32" l="1"/>
  <c r="E10" i="34"/>
  <c r="AD504" i="31"/>
  <c r="AD469" i="31"/>
  <c r="AD470" i="31"/>
  <c r="AD471" i="31"/>
  <c r="AD472" i="31"/>
  <c r="AD473" i="31"/>
  <c r="AD474" i="31"/>
  <c r="AD475" i="31"/>
  <c r="AD476" i="31"/>
  <c r="AD477" i="31"/>
  <c r="AD479" i="31"/>
  <c r="AD480" i="31"/>
  <c r="AD481" i="31"/>
  <c r="AD482" i="31"/>
  <c r="AD483" i="31"/>
  <c r="AD484" i="31"/>
  <c r="AD485" i="31"/>
  <c r="AD486" i="31"/>
  <c r="AD487" i="31"/>
  <c r="AD488" i="31"/>
  <c r="AD489" i="31"/>
  <c r="AD490" i="31"/>
  <c r="AD491" i="31"/>
  <c r="AD492" i="31"/>
  <c r="AD493" i="31"/>
  <c r="AD494" i="31"/>
  <c r="AD495" i="31"/>
  <c r="AD496" i="31"/>
  <c r="AD497" i="31"/>
  <c r="AD498" i="31"/>
  <c r="AD499" i="31"/>
  <c r="AD500" i="31"/>
  <c r="AD501" i="31"/>
  <c r="AD502" i="31"/>
  <c r="AD503" i="31"/>
  <c r="AD468" i="31"/>
  <c r="AD461" i="31"/>
  <c r="AD462" i="31"/>
  <c r="AD463" i="31"/>
  <c r="AD466" i="31"/>
  <c r="AD460" i="31"/>
  <c r="AD454" i="31"/>
  <c r="AD455" i="31"/>
  <c r="AD457" i="31"/>
  <c r="AD453" i="31"/>
  <c r="AD446" i="31"/>
  <c r="AD438" i="31"/>
  <c r="AD439" i="31"/>
  <c r="AD434" i="31"/>
  <c r="AD419" i="31"/>
  <c r="AD420" i="31"/>
  <c r="AD421" i="31"/>
  <c r="AD422" i="31"/>
  <c r="AD423" i="31"/>
  <c r="AD424" i="31"/>
  <c r="AD425" i="31"/>
  <c r="AD418" i="31"/>
  <c r="AD400" i="31"/>
  <c r="AD401" i="31"/>
  <c r="AD402" i="31"/>
  <c r="AD399" i="31"/>
  <c r="AD397" i="31"/>
  <c r="AD234" i="31"/>
  <c r="AD243" i="31"/>
  <c r="AD245" i="31"/>
  <c r="AD170" i="31"/>
  <c r="AD176" i="31"/>
  <c r="AD177" i="31"/>
  <c r="AD174" i="31"/>
  <c r="AE174" i="31" s="1"/>
  <c r="AD172" i="31"/>
  <c r="AE234" i="31" l="1"/>
  <c r="AE504" i="31"/>
  <c r="D9" i="32" l="1"/>
  <c r="AD445" i="31" l="1"/>
  <c r="N41" i="26"/>
  <c r="M41" i="26"/>
  <c r="L41" i="26"/>
  <c r="K41" i="26"/>
  <c r="J41" i="26"/>
  <c r="I41" i="26"/>
  <c r="H41" i="26"/>
  <c r="C41" i="26"/>
  <c r="O41" i="26"/>
  <c r="AD433" i="31"/>
  <c r="O10" i="26"/>
  <c r="N10" i="26"/>
  <c r="M10" i="26"/>
  <c r="L10" i="26"/>
  <c r="K10" i="26"/>
  <c r="J10" i="26"/>
  <c r="I10" i="26"/>
  <c r="H10" i="26"/>
  <c r="C10" i="26"/>
  <c r="U292" i="31"/>
  <c r="Q298" i="31"/>
  <c r="L39" i="28" l="1"/>
  <c r="K39" i="28"/>
  <c r="J39" i="28"/>
  <c r="I39" i="28"/>
  <c r="H39" i="28"/>
  <c r="G39" i="28"/>
  <c r="F39" i="28"/>
  <c r="C39" i="28"/>
  <c r="L40" i="28"/>
  <c r="K40" i="28"/>
  <c r="J40" i="28"/>
  <c r="I40" i="28"/>
  <c r="H40" i="28"/>
  <c r="G40" i="28"/>
  <c r="F40" i="28"/>
  <c r="C40" i="28"/>
  <c r="L38" i="28"/>
  <c r="K38" i="28"/>
  <c r="J38" i="28"/>
  <c r="I38" i="28"/>
  <c r="H38" i="28"/>
  <c r="G38" i="28"/>
  <c r="F38" i="28"/>
  <c r="C38" i="28"/>
  <c r="L42" i="28"/>
  <c r="K42" i="28"/>
  <c r="J42" i="28"/>
  <c r="I42" i="28"/>
  <c r="H42" i="28"/>
  <c r="G42" i="28"/>
  <c r="F42" i="28"/>
  <c r="C42" i="28"/>
  <c r="L43" i="28"/>
  <c r="K43" i="28"/>
  <c r="J43" i="28"/>
  <c r="I43" i="28"/>
  <c r="H43" i="28"/>
  <c r="G43" i="28"/>
  <c r="F43" i="28"/>
  <c r="C43" i="28"/>
  <c r="L41" i="28"/>
  <c r="K41" i="28"/>
  <c r="J41" i="28"/>
  <c r="I41" i="28"/>
  <c r="H41" i="28"/>
  <c r="G41" i="28"/>
  <c r="F41" i="28"/>
  <c r="C41" i="28"/>
  <c r="L37" i="28"/>
  <c r="K37" i="28"/>
  <c r="J37" i="28"/>
  <c r="I37" i="28"/>
  <c r="H37" i="28"/>
  <c r="G37" i="28"/>
  <c r="F37" i="28"/>
  <c r="C37" i="28"/>
  <c r="L36" i="28"/>
  <c r="K36" i="28"/>
  <c r="J36" i="28"/>
  <c r="I36" i="28"/>
  <c r="H36" i="28"/>
  <c r="G36" i="28"/>
  <c r="F36" i="28"/>
  <c r="C36" i="28"/>
  <c r="L34" i="28"/>
  <c r="K34" i="28"/>
  <c r="J34" i="28"/>
  <c r="I34" i="28"/>
  <c r="H34" i="28"/>
  <c r="G34" i="28"/>
  <c r="F34" i="28"/>
  <c r="C34" i="28"/>
  <c r="K35" i="28" l="1"/>
  <c r="L35" i="28"/>
  <c r="I35" i="28"/>
  <c r="J35" i="28"/>
  <c r="E20" i="32"/>
  <c r="C21" i="32" l="1"/>
  <c r="C6" i="32"/>
  <c r="C9" i="32"/>
  <c r="C26" i="34"/>
  <c r="C29" i="34" s="1"/>
  <c r="C30" i="34"/>
  <c r="C33" i="34" s="1"/>
  <c r="C18" i="34"/>
  <c r="C21" i="34" s="1"/>
  <c r="C34" i="34"/>
  <c r="C37" i="34" s="1"/>
  <c r="C22" i="34"/>
  <c r="C25" i="34" s="1"/>
  <c r="C38" i="34"/>
  <c r="C41" i="34" s="1"/>
  <c r="C42" i="34"/>
  <c r="C45" i="34" s="1"/>
  <c r="C14" i="34"/>
  <c r="C16" i="34" s="1"/>
  <c r="C25" i="30"/>
  <c r="C16" i="30"/>
  <c r="C15" i="30" s="1"/>
  <c r="C8" i="30" l="1"/>
  <c r="C17" i="34"/>
  <c r="C5" i="32"/>
  <c r="C28" i="34"/>
  <c r="C32" i="34"/>
  <c r="C40" i="34"/>
  <c r="C44" i="34"/>
  <c r="C20" i="34"/>
  <c r="C36" i="34"/>
  <c r="C24" i="34"/>
  <c r="D23" i="32" l="1"/>
  <c r="D22" i="32"/>
  <c r="D19" i="32"/>
  <c r="D18" i="32"/>
  <c r="D17" i="32"/>
  <c r="D6" i="32"/>
  <c r="D16" i="32" l="1"/>
  <c r="D5" i="32"/>
  <c r="D21" i="32"/>
  <c r="AD392" i="31"/>
  <c r="D15" i="32" l="1"/>
  <c r="AE243" i="31"/>
  <c r="AE245" i="31"/>
  <c r="AE242" i="31"/>
  <c r="AE186" i="31"/>
  <c r="AE187" i="31"/>
  <c r="AE188" i="31"/>
  <c r="M110" i="20" s="1"/>
  <c r="AE189" i="31"/>
  <c r="AE190" i="31"/>
  <c r="AE191" i="31"/>
  <c r="AE192" i="31"/>
  <c r="AE193" i="31"/>
  <c r="AE194" i="31"/>
  <c r="AE195" i="31"/>
  <c r="AE196" i="31"/>
  <c r="AE197" i="31"/>
  <c r="AE198" i="31"/>
  <c r="AE199" i="31"/>
  <c r="AE200" i="31"/>
  <c r="AE201" i="31"/>
  <c r="AE202" i="31"/>
  <c r="AE203" i="31"/>
  <c r="AE204" i="31"/>
  <c r="AE205" i="31"/>
  <c r="AE206" i="31"/>
  <c r="AE207" i="31"/>
  <c r="AE208" i="31"/>
  <c r="AE209" i="31"/>
  <c r="AE210" i="31"/>
  <c r="AE211" i="31"/>
  <c r="AE212" i="31"/>
  <c r="AE213" i="31"/>
  <c r="AE214" i="31"/>
  <c r="AE182" i="31"/>
  <c r="AE176" i="31"/>
  <c r="AE177" i="31"/>
  <c r="AE175" i="31"/>
  <c r="AE167" i="31"/>
  <c r="AE170" i="31"/>
  <c r="L111" i="20"/>
  <c r="M111" i="20"/>
  <c r="C110" i="20"/>
  <c r="E110" i="20"/>
  <c r="F110" i="20"/>
  <c r="G110" i="20"/>
  <c r="H110" i="20"/>
  <c r="I110" i="20"/>
  <c r="J110" i="20"/>
  <c r="K110" i="20"/>
  <c r="Q110" i="20"/>
  <c r="H87" i="20"/>
  <c r="I87" i="20"/>
  <c r="J87" i="20"/>
  <c r="K87" i="20"/>
  <c r="L87" i="20"/>
  <c r="M87" i="20"/>
  <c r="N87" i="20" s="1"/>
  <c r="H109" i="20"/>
  <c r="I109" i="20"/>
  <c r="J109" i="20"/>
  <c r="K109" i="20"/>
  <c r="L109" i="20"/>
  <c r="H103" i="20"/>
  <c r="I103" i="20"/>
  <c r="J103" i="20"/>
  <c r="K103" i="20"/>
  <c r="L103" i="20"/>
  <c r="H113" i="20"/>
  <c r="I113" i="20"/>
  <c r="J113" i="20"/>
  <c r="K113" i="20"/>
  <c r="L113" i="20"/>
  <c r="U295" i="31"/>
  <c r="S298" i="31"/>
  <c r="S296" i="31"/>
  <c r="Q296" i="31"/>
  <c r="Y303" i="31"/>
  <c r="Y293" i="31"/>
  <c r="Y290" i="31" s="1"/>
  <c r="Y289" i="31" s="1"/>
  <c r="N111" i="20" l="1"/>
  <c r="N110" i="20"/>
  <c r="M103" i="20"/>
  <c r="M113" i="20"/>
  <c r="AE172" i="31"/>
  <c r="N113" i="20" l="1"/>
  <c r="N103" i="20"/>
  <c r="M109" i="20"/>
  <c r="N109" i="20" l="1"/>
  <c r="W301" i="31"/>
  <c r="W289" i="31" s="1"/>
  <c r="N180" i="31"/>
  <c r="O180" i="31"/>
  <c r="Q180" i="31"/>
  <c r="R180" i="31"/>
  <c r="S180" i="31"/>
  <c r="T180" i="31"/>
  <c r="U180" i="31"/>
  <c r="V180" i="31"/>
  <c r="W180" i="31"/>
  <c r="X180" i="31"/>
  <c r="Y180" i="31"/>
  <c r="AA180" i="31"/>
  <c r="AB180" i="31"/>
  <c r="AC180" i="31"/>
  <c r="AF180" i="31"/>
  <c r="N149" i="31"/>
  <c r="O149" i="31"/>
  <c r="Q149" i="31"/>
  <c r="R149" i="31"/>
  <c r="S149" i="31"/>
  <c r="T149" i="31"/>
  <c r="U149" i="31"/>
  <c r="V149" i="31"/>
  <c r="W149" i="31"/>
  <c r="X149" i="31"/>
  <c r="Y149" i="31"/>
  <c r="AA149" i="31"/>
  <c r="AB149" i="31"/>
  <c r="AC149" i="31"/>
  <c r="AF149" i="31"/>
  <c r="W28" i="31"/>
  <c r="W27" i="31" s="1"/>
  <c r="Y28" i="31"/>
  <c r="AF12" i="31"/>
  <c r="AE480" i="31"/>
  <c r="AE481" i="31"/>
  <c r="AE482" i="31"/>
  <c r="AE483" i="31"/>
  <c r="AE484" i="31"/>
  <c r="AE485" i="31"/>
  <c r="AE486" i="31"/>
  <c r="AE487" i="31"/>
  <c r="AE488" i="31"/>
  <c r="AE489" i="31"/>
  <c r="AE490" i="31"/>
  <c r="AE491" i="31"/>
  <c r="AE492" i="31"/>
  <c r="AE493" i="31"/>
  <c r="AE494" i="31"/>
  <c r="AE495" i="31"/>
  <c r="AE496" i="31"/>
  <c r="AE497" i="31"/>
  <c r="AE498" i="31"/>
  <c r="AE499" i="31"/>
  <c r="AE500" i="31"/>
  <c r="AE501" i="31"/>
  <c r="AE502" i="31"/>
  <c r="AE503" i="31"/>
  <c r="AE479" i="31"/>
  <c r="AE469" i="31"/>
  <c r="AE470" i="31"/>
  <c r="AE471" i="31"/>
  <c r="AE472" i="31"/>
  <c r="AE473" i="31"/>
  <c r="AE474" i="31"/>
  <c r="AE475" i="31"/>
  <c r="AE476" i="31"/>
  <c r="AE477" i="31"/>
  <c r="AE468" i="31"/>
  <c r="AE466" i="31"/>
  <c r="AE461" i="31"/>
  <c r="AE462" i="31"/>
  <c r="AE463" i="31"/>
  <c r="AE460" i="31"/>
  <c r="AE453" i="31"/>
  <c r="AE454" i="31"/>
  <c r="AE455" i="31"/>
  <c r="AE456" i="31"/>
  <c r="AE457" i="31"/>
  <c r="AE450" i="31"/>
  <c r="AD449" i="31"/>
  <c r="AE446" i="31"/>
  <c r="AE438" i="31"/>
  <c r="AE439" i="31"/>
  <c r="AE434" i="31"/>
  <c r="AD432" i="31"/>
  <c r="AE432" i="31" s="1"/>
  <c r="AE419" i="31"/>
  <c r="AE420" i="31"/>
  <c r="AE421" i="31"/>
  <c r="AE422" i="31"/>
  <c r="AE423" i="31"/>
  <c r="AE425" i="31"/>
  <c r="AE418" i="31"/>
  <c r="AD414" i="31"/>
  <c r="AD415" i="31"/>
  <c r="AD416" i="31"/>
  <c r="AD417" i="31"/>
  <c r="AD413" i="31"/>
  <c r="AE412" i="31"/>
  <c r="AE400" i="31"/>
  <c r="AE401" i="31"/>
  <c r="AE402" i="31"/>
  <c r="AE399" i="31"/>
  <c r="AE397" i="31"/>
  <c r="AE417" i="31" l="1"/>
  <c r="N40" i="28" s="1"/>
  <c r="M40" i="28"/>
  <c r="N39" i="28"/>
  <c r="M39" i="28"/>
  <c r="AE449" i="31"/>
  <c r="N36" i="28" s="1"/>
  <c r="M36" i="28"/>
  <c r="AE415" i="31"/>
  <c r="N42" i="28" s="1"/>
  <c r="M42" i="28"/>
  <c r="AE398" i="31"/>
  <c r="M34" i="28"/>
  <c r="AE416" i="31"/>
  <c r="N38" i="28" s="1"/>
  <c r="M38" i="28"/>
  <c r="AE433" i="31"/>
  <c r="N41" i="28" s="1"/>
  <c r="M41" i="28"/>
  <c r="AE424" i="31"/>
  <c r="P41" i="26" s="1"/>
  <c r="AE413" i="31"/>
  <c r="N37" i="28" s="1"/>
  <c r="M37" i="28"/>
  <c r="AE414" i="31"/>
  <c r="N43" i="28" s="1"/>
  <c r="M43" i="28"/>
  <c r="AE445" i="31"/>
  <c r="C31" i="28"/>
  <c r="F31" i="28"/>
  <c r="G31" i="28"/>
  <c r="H31" i="28"/>
  <c r="I31" i="28"/>
  <c r="J31" i="28"/>
  <c r="C33" i="28"/>
  <c r="F33" i="28"/>
  <c r="G33" i="28"/>
  <c r="H33" i="28"/>
  <c r="I33" i="28"/>
  <c r="J33" i="28"/>
  <c r="J32" i="28"/>
  <c r="I32" i="28"/>
  <c r="H32" i="28"/>
  <c r="G32" i="28"/>
  <c r="F32" i="28"/>
  <c r="C32" i="28"/>
  <c r="O43" i="28" l="1"/>
  <c r="O37" i="28"/>
  <c r="Q41" i="26"/>
  <c r="O41" i="28"/>
  <c r="O38" i="28"/>
  <c r="O42" i="28"/>
  <c r="O39" i="28"/>
  <c r="O40" i="28"/>
  <c r="N34" i="28"/>
  <c r="P10" i="26"/>
  <c r="J30" i="28"/>
  <c r="M35" i="28"/>
  <c r="I30" i="28"/>
  <c r="O36" i="28"/>
  <c r="N35" i="28"/>
  <c r="T373" i="31"/>
  <c r="U375" i="31"/>
  <c r="U372" i="31" s="1"/>
  <c r="T375" i="31"/>
  <c r="Z375" i="31"/>
  <c r="Z372" i="31" s="1"/>
  <c r="AD288" i="31"/>
  <c r="AD287" i="31"/>
  <c r="AD286" i="31"/>
  <c r="AC285" i="31"/>
  <c r="AA285" i="31"/>
  <c r="P285" i="31"/>
  <c r="N285" i="31"/>
  <c r="AD281" i="31"/>
  <c r="C13" i="26"/>
  <c r="H13" i="26"/>
  <c r="I13" i="26"/>
  <c r="J13" i="26"/>
  <c r="K13" i="26"/>
  <c r="L13" i="26"/>
  <c r="M13" i="26"/>
  <c r="N13" i="26"/>
  <c r="O13" i="26"/>
  <c r="P13" i="26"/>
  <c r="T13" i="26"/>
  <c r="C21" i="26"/>
  <c r="H21" i="26"/>
  <c r="I21" i="26"/>
  <c r="J21" i="26"/>
  <c r="K21" i="26"/>
  <c r="L21" i="26"/>
  <c r="M21" i="26"/>
  <c r="N21" i="26"/>
  <c r="O21" i="26"/>
  <c r="P21" i="26"/>
  <c r="T21" i="26"/>
  <c r="C23" i="26"/>
  <c r="H23" i="26"/>
  <c r="I23" i="26"/>
  <c r="J23" i="26"/>
  <c r="K23" i="26"/>
  <c r="L23" i="26"/>
  <c r="M23" i="26"/>
  <c r="N23" i="26"/>
  <c r="O23" i="26"/>
  <c r="P23" i="26"/>
  <c r="T23" i="26"/>
  <c r="C16" i="26"/>
  <c r="H16" i="26"/>
  <c r="I16" i="26"/>
  <c r="J16" i="26"/>
  <c r="K16" i="26"/>
  <c r="L16" i="26"/>
  <c r="M16" i="26"/>
  <c r="N16" i="26"/>
  <c r="O16" i="26"/>
  <c r="P16" i="26"/>
  <c r="T16" i="26"/>
  <c r="C14" i="26"/>
  <c r="H14" i="26"/>
  <c r="I14" i="26"/>
  <c r="J14" i="26"/>
  <c r="K14" i="26"/>
  <c r="M14" i="26"/>
  <c r="N14" i="26"/>
  <c r="T14" i="26"/>
  <c r="C11" i="26"/>
  <c r="H11" i="26"/>
  <c r="I11" i="26"/>
  <c r="J11" i="26"/>
  <c r="K11" i="26"/>
  <c r="M11" i="26"/>
  <c r="N11" i="26"/>
  <c r="T11" i="26"/>
  <c r="C15" i="26"/>
  <c r="H15" i="26"/>
  <c r="I15" i="26"/>
  <c r="J15" i="26"/>
  <c r="K15" i="26"/>
  <c r="M15" i="26"/>
  <c r="N15" i="26"/>
  <c r="T15" i="26"/>
  <c r="C18" i="26"/>
  <c r="H18" i="26"/>
  <c r="I18" i="26"/>
  <c r="J18" i="26"/>
  <c r="K18" i="26"/>
  <c r="M18" i="26"/>
  <c r="N18" i="26"/>
  <c r="T18" i="26"/>
  <c r="C12" i="26"/>
  <c r="H12" i="26"/>
  <c r="I12" i="26"/>
  <c r="J12" i="26"/>
  <c r="K12" i="26"/>
  <c r="M12" i="26"/>
  <c r="N12" i="26"/>
  <c r="T12" i="26"/>
  <c r="C19" i="26"/>
  <c r="H19" i="26"/>
  <c r="I19" i="26"/>
  <c r="J19" i="26"/>
  <c r="K19" i="26"/>
  <c r="M19" i="26"/>
  <c r="N19" i="26"/>
  <c r="T19" i="26"/>
  <c r="C22" i="26"/>
  <c r="H22" i="26"/>
  <c r="I22" i="26"/>
  <c r="J22" i="26"/>
  <c r="K22" i="26"/>
  <c r="M22" i="26"/>
  <c r="N22" i="26"/>
  <c r="T22" i="26"/>
  <c r="C17" i="26"/>
  <c r="H17" i="26"/>
  <c r="I17" i="26"/>
  <c r="J17" i="26"/>
  <c r="K17" i="26"/>
  <c r="M17" i="26"/>
  <c r="N17" i="26"/>
  <c r="T17" i="26"/>
  <c r="C26" i="26"/>
  <c r="H26" i="26"/>
  <c r="I26" i="26"/>
  <c r="J26" i="26"/>
  <c r="K26" i="26"/>
  <c r="L26" i="26"/>
  <c r="M26" i="26"/>
  <c r="N26" i="26"/>
  <c r="O26" i="26"/>
  <c r="P26" i="26"/>
  <c r="T26" i="26"/>
  <c r="C47" i="26"/>
  <c r="H47" i="26"/>
  <c r="I47" i="26"/>
  <c r="J47" i="26"/>
  <c r="K47" i="26"/>
  <c r="L47" i="26"/>
  <c r="M47" i="26"/>
  <c r="N47" i="26"/>
  <c r="O47" i="26"/>
  <c r="P47" i="26"/>
  <c r="T47" i="26"/>
  <c r="C35" i="26"/>
  <c r="H35" i="26"/>
  <c r="I35" i="26"/>
  <c r="J35" i="26"/>
  <c r="K35" i="26"/>
  <c r="L35" i="26"/>
  <c r="M35" i="26"/>
  <c r="N35" i="26"/>
  <c r="O35" i="26"/>
  <c r="P35" i="26"/>
  <c r="T35" i="26"/>
  <c r="C49" i="26"/>
  <c r="H49" i="26"/>
  <c r="I49" i="26"/>
  <c r="J49" i="26"/>
  <c r="K49" i="26"/>
  <c r="L49" i="26"/>
  <c r="M49" i="26"/>
  <c r="N49" i="26"/>
  <c r="O49" i="26"/>
  <c r="P49" i="26"/>
  <c r="T49" i="26"/>
  <c r="C45" i="26"/>
  <c r="H45" i="26"/>
  <c r="I45" i="26"/>
  <c r="J45" i="26"/>
  <c r="K45" i="26"/>
  <c r="L45" i="26"/>
  <c r="M45" i="26"/>
  <c r="N45" i="26"/>
  <c r="O45" i="26"/>
  <c r="P45" i="26"/>
  <c r="T45" i="26"/>
  <c r="C50" i="26"/>
  <c r="H50" i="26"/>
  <c r="I50" i="26"/>
  <c r="J50" i="26"/>
  <c r="K50" i="26"/>
  <c r="L50" i="26"/>
  <c r="M50" i="26"/>
  <c r="N50" i="26"/>
  <c r="O50" i="26"/>
  <c r="P50" i="26"/>
  <c r="T50" i="26"/>
  <c r="C42" i="26"/>
  <c r="H42" i="26"/>
  <c r="I42" i="26"/>
  <c r="J42" i="26"/>
  <c r="K42" i="26"/>
  <c r="L42" i="26"/>
  <c r="M42" i="26"/>
  <c r="N42" i="26"/>
  <c r="O42" i="26"/>
  <c r="P42" i="26"/>
  <c r="T42" i="26"/>
  <c r="C40" i="26"/>
  <c r="H40" i="26"/>
  <c r="I40" i="26"/>
  <c r="J40" i="26"/>
  <c r="K40" i="26"/>
  <c r="L40" i="26"/>
  <c r="M40" i="26"/>
  <c r="N40" i="26"/>
  <c r="O40" i="26"/>
  <c r="P40" i="26"/>
  <c r="T40" i="26"/>
  <c r="C51" i="26"/>
  <c r="H51" i="26"/>
  <c r="I51" i="26"/>
  <c r="J51" i="26"/>
  <c r="K51" i="26"/>
  <c r="M51" i="26"/>
  <c r="N51" i="26"/>
  <c r="T51" i="26"/>
  <c r="C52" i="26"/>
  <c r="H52" i="26"/>
  <c r="I52" i="26"/>
  <c r="J52" i="26"/>
  <c r="K52" i="26"/>
  <c r="M52" i="26"/>
  <c r="N52" i="26"/>
  <c r="T52" i="26"/>
  <c r="C46" i="26"/>
  <c r="H46" i="26"/>
  <c r="I46" i="26"/>
  <c r="J46" i="26"/>
  <c r="K46" i="26"/>
  <c r="M46" i="26"/>
  <c r="N46" i="26"/>
  <c r="T46" i="26"/>
  <c r="C20" i="26"/>
  <c r="H20" i="26"/>
  <c r="I20" i="26"/>
  <c r="J20" i="26"/>
  <c r="K20" i="26"/>
  <c r="M20" i="26"/>
  <c r="N20" i="26"/>
  <c r="T20" i="26"/>
  <c r="C56" i="26"/>
  <c r="H56" i="26"/>
  <c r="I56" i="26"/>
  <c r="J56" i="26"/>
  <c r="K56" i="26"/>
  <c r="M56" i="26"/>
  <c r="N56" i="26"/>
  <c r="T56" i="26"/>
  <c r="C57" i="26"/>
  <c r="H57" i="26"/>
  <c r="I57" i="26"/>
  <c r="J57" i="26"/>
  <c r="K57" i="26"/>
  <c r="M57" i="26"/>
  <c r="N57" i="26"/>
  <c r="T57" i="26"/>
  <c r="C59" i="26"/>
  <c r="H59" i="26"/>
  <c r="I59" i="26"/>
  <c r="J59" i="26"/>
  <c r="K59" i="26"/>
  <c r="L59" i="26"/>
  <c r="M59" i="26"/>
  <c r="N59" i="26"/>
  <c r="O59" i="26"/>
  <c r="P59" i="26"/>
  <c r="T59" i="26"/>
  <c r="C43" i="26"/>
  <c r="H43" i="26"/>
  <c r="I43" i="26"/>
  <c r="J43" i="26"/>
  <c r="K43" i="26"/>
  <c r="M43" i="26"/>
  <c r="N43" i="26"/>
  <c r="T43" i="26"/>
  <c r="C60" i="26"/>
  <c r="H60" i="26"/>
  <c r="I60" i="26"/>
  <c r="J60" i="26"/>
  <c r="K60" i="26"/>
  <c r="M60" i="26"/>
  <c r="N60" i="26"/>
  <c r="T60" i="26"/>
  <c r="C36" i="26"/>
  <c r="H36" i="26"/>
  <c r="I36" i="26"/>
  <c r="J36" i="26"/>
  <c r="K36" i="26"/>
  <c r="M36" i="26"/>
  <c r="N36" i="26"/>
  <c r="T36" i="26"/>
  <c r="C44" i="26"/>
  <c r="H44" i="26"/>
  <c r="I44" i="26"/>
  <c r="J44" i="26"/>
  <c r="K44" i="26"/>
  <c r="L44" i="26"/>
  <c r="M44" i="26"/>
  <c r="N44" i="26"/>
  <c r="O44" i="26"/>
  <c r="P44" i="26"/>
  <c r="T44" i="26"/>
  <c r="C48" i="26"/>
  <c r="H48" i="26"/>
  <c r="I48" i="26"/>
  <c r="J48" i="26"/>
  <c r="K48" i="26"/>
  <c r="M48" i="26"/>
  <c r="N48" i="26"/>
  <c r="T48" i="26"/>
  <c r="C38" i="26"/>
  <c r="H38" i="26"/>
  <c r="I38" i="26"/>
  <c r="J38" i="26"/>
  <c r="K38" i="26"/>
  <c r="M38" i="26"/>
  <c r="N38" i="26"/>
  <c r="T38" i="26"/>
  <c r="C30" i="26"/>
  <c r="H30" i="26"/>
  <c r="I30" i="26"/>
  <c r="J30" i="26"/>
  <c r="K30" i="26"/>
  <c r="M30" i="26"/>
  <c r="N30" i="26"/>
  <c r="T30" i="26"/>
  <c r="C53" i="26"/>
  <c r="H53" i="26"/>
  <c r="I53" i="26"/>
  <c r="J53" i="26"/>
  <c r="K53" i="26"/>
  <c r="M53" i="26"/>
  <c r="N53" i="26"/>
  <c r="T53" i="26"/>
  <c r="C32" i="26"/>
  <c r="H32" i="26"/>
  <c r="I32" i="26"/>
  <c r="J32" i="26"/>
  <c r="K32" i="26"/>
  <c r="M32" i="26"/>
  <c r="N32" i="26"/>
  <c r="T32" i="26"/>
  <c r="C33" i="26"/>
  <c r="H33" i="26"/>
  <c r="I33" i="26"/>
  <c r="J33" i="26"/>
  <c r="K33" i="26"/>
  <c r="L33" i="26"/>
  <c r="M33" i="26"/>
  <c r="N33" i="26"/>
  <c r="O33" i="26"/>
  <c r="P33" i="26"/>
  <c r="T33" i="26"/>
  <c r="C34" i="26"/>
  <c r="H34" i="26"/>
  <c r="I34" i="26"/>
  <c r="J34" i="26"/>
  <c r="K34" i="26"/>
  <c r="M34" i="26"/>
  <c r="N34" i="26"/>
  <c r="T34" i="26"/>
  <c r="C31" i="26"/>
  <c r="H31" i="26"/>
  <c r="I31" i="26"/>
  <c r="J31" i="26"/>
  <c r="K31" i="26"/>
  <c r="M31" i="26"/>
  <c r="N31" i="26"/>
  <c r="T31" i="26"/>
  <c r="C29" i="26"/>
  <c r="H29" i="26"/>
  <c r="I29" i="26"/>
  <c r="J29" i="26"/>
  <c r="K29" i="26"/>
  <c r="L29" i="26"/>
  <c r="M29" i="26"/>
  <c r="N29" i="26"/>
  <c r="O29" i="26"/>
  <c r="P29" i="26"/>
  <c r="T29" i="26"/>
  <c r="C27" i="26"/>
  <c r="H27" i="26"/>
  <c r="I27" i="26"/>
  <c r="J27" i="26"/>
  <c r="K27" i="26"/>
  <c r="M27" i="26"/>
  <c r="N27" i="26"/>
  <c r="T27" i="26"/>
  <c r="C25" i="26"/>
  <c r="H25" i="26"/>
  <c r="I25" i="26"/>
  <c r="J25" i="26"/>
  <c r="K25" i="26"/>
  <c r="M25" i="26"/>
  <c r="N25" i="26"/>
  <c r="T25" i="26"/>
  <c r="C58" i="26"/>
  <c r="H58" i="26"/>
  <c r="I58" i="26"/>
  <c r="J58" i="26"/>
  <c r="K58" i="26"/>
  <c r="L58" i="26"/>
  <c r="M58" i="26"/>
  <c r="N58" i="26"/>
  <c r="O58" i="26"/>
  <c r="P58" i="26"/>
  <c r="T58" i="26"/>
  <c r="C55" i="26"/>
  <c r="H55" i="26"/>
  <c r="I55" i="26"/>
  <c r="J55" i="26"/>
  <c r="K55" i="26"/>
  <c r="L55" i="26"/>
  <c r="M55" i="26"/>
  <c r="N55" i="26"/>
  <c r="O55" i="26"/>
  <c r="P55" i="26"/>
  <c r="T55" i="26"/>
  <c r="C39" i="26"/>
  <c r="H39" i="26"/>
  <c r="I39" i="26"/>
  <c r="J39" i="26"/>
  <c r="K39" i="26"/>
  <c r="L39" i="26"/>
  <c r="M39" i="26"/>
  <c r="N39" i="26"/>
  <c r="O39" i="26"/>
  <c r="P39" i="26"/>
  <c r="T39" i="26"/>
  <c r="C28" i="26"/>
  <c r="H28" i="26"/>
  <c r="I28" i="26"/>
  <c r="J28" i="26"/>
  <c r="K28" i="26"/>
  <c r="L28" i="26"/>
  <c r="M28" i="26"/>
  <c r="N28" i="26"/>
  <c r="O28" i="26"/>
  <c r="P28" i="26"/>
  <c r="T28" i="26"/>
  <c r="C37" i="26"/>
  <c r="H37" i="26"/>
  <c r="I37" i="26"/>
  <c r="J37" i="26"/>
  <c r="K37" i="26"/>
  <c r="L37" i="26"/>
  <c r="M37" i="26"/>
  <c r="N37" i="26"/>
  <c r="O37" i="26"/>
  <c r="P37" i="26"/>
  <c r="T37" i="26"/>
  <c r="T54" i="26"/>
  <c r="P54" i="26"/>
  <c r="O54" i="26"/>
  <c r="N54" i="26"/>
  <c r="M54" i="26"/>
  <c r="L54" i="26"/>
  <c r="K54" i="26"/>
  <c r="J54" i="26"/>
  <c r="I54" i="26"/>
  <c r="H54" i="26"/>
  <c r="C54" i="26"/>
  <c r="C21" i="28"/>
  <c r="F21" i="28"/>
  <c r="G21" i="28"/>
  <c r="H21" i="28"/>
  <c r="I21" i="28"/>
  <c r="J21" i="28"/>
  <c r="C22" i="28"/>
  <c r="F22" i="28"/>
  <c r="G22" i="28"/>
  <c r="H22" i="28"/>
  <c r="I22" i="28"/>
  <c r="J22" i="28"/>
  <c r="C23" i="28"/>
  <c r="F23" i="28"/>
  <c r="G23" i="28"/>
  <c r="H23" i="28"/>
  <c r="I23" i="28"/>
  <c r="J23" i="28"/>
  <c r="C24" i="28"/>
  <c r="F24" i="28"/>
  <c r="G24" i="28"/>
  <c r="H24" i="28"/>
  <c r="I24" i="28"/>
  <c r="J24" i="28"/>
  <c r="C25" i="28"/>
  <c r="F25" i="28"/>
  <c r="G25" i="28"/>
  <c r="H25" i="28"/>
  <c r="I25" i="28"/>
  <c r="J25" i="28"/>
  <c r="C26" i="28"/>
  <c r="F26" i="28"/>
  <c r="G26" i="28"/>
  <c r="H26" i="28"/>
  <c r="I26" i="28"/>
  <c r="J26" i="28"/>
  <c r="C27" i="28"/>
  <c r="F27" i="28"/>
  <c r="G27" i="28"/>
  <c r="H27" i="28"/>
  <c r="I27" i="28"/>
  <c r="J27" i="28"/>
  <c r="C28" i="28"/>
  <c r="F28" i="28"/>
  <c r="G28" i="28"/>
  <c r="H28" i="28"/>
  <c r="I28" i="28"/>
  <c r="J28" i="28"/>
  <c r="C19" i="28"/>
  <c r="F19" i="28"/>
  <c r="G19" i="28"/>
  <c r="H19" i="28"/>
  <c r="I19" i="28"/>
  <c r="J19" i="28"/>
  <c r="J20" i="28"/>
  <c r="I20" i="28"/>
  <c r="H20" i="28"/>
  <c r="G20" i="28"/>
  <c r="F20" i="28"/>
  <c r="C20" i="28"/>
  <c r="C12" i="28"/>
  <c r="F12" i="28"/>
  <c r="G12" i="28"/>
  <c r="H12" i="28"/>
  <c r="I12" i="28"/>
  <c r="J12" i="28"/>
  <c r="C13" i="28"/>
  <c r="F13" i="28"/>
  <c r="G13" i="28"/>
  <c r="H13" i="28"/>
  <c r="I13" i="28"/>
  <c r="C11" i="28"/>
  <c r="F11" i="28"/>
  <c r="G11" i="28"/>
  <c r="H11" i="28"/>
  <c r="I11" i="28"/>
  <c r="J11" i="28"/>
  <c r="C14" i="28"/>
  <c r="F14" i="28"/>
  <c r="G14" i="28"/>
  <c r="H14" i="28"/>
  <c r="I14" i="28"/>
  <c r="J14" i="28"/>
  <c r="C15" i="28"/>
  <c r="F15" i="28"/>
  <c r="G15" i="28"/>
  <c r="H15" i="28"/>
  <c r="I15" i="28"/>
  <c r="J15" i="28"/>
  <c r="C16" i="28"/>
  <c r="F16" i="28"/>
  <c r="G16" i="28"/>
  <c r="H16" i="28"/>
  <c r="I16" i="28"/>
  <c r="C17" i="28"/>
  <c r="F17" i="28"/>
  <c r="G17" i="28"/>
  <c r="H17" i="28"/>
  <c r="I17" i="28"/>
  <c r="J17" i="28"/>
  <c r="C10" i="28"/>
  <c r="F10" i="28"/>
  <c r="G10" i="28"/>
  <c r="H10" i="28"/>
  <c r="I10" i="28"/>
  <c r="C29" i="28"/>
  <c r="F29" i="28"/>
  <c r="G29" i="28"/>
  <c r="H29" i="28"/>
  <c r="I29" i="28"/>
  <c r="J29" i="28"/>
  <c r="J18" i="28"/>
  <c r="I18" i="28"/>
  <c r="H18" i="28"/>
  <c r="G18" i="28"/>
  <c r="F18" i="28"/>
  <c r="C18" i="28"/>
  <c r="C11" i="29"/>
  <c r="D11" i="29"/>
  <c r="E11" i="29"/>
  <c r="F11" i="29"/>
  <c r="G11" i="29"/>
  <c r="H11" i="29"/>
  <c r="P11" i="29"/>
  <c r="C12" i="29"/>
  <c r="D12" i="29"/>
  <c r="E12" i="29"/>
  <c r="F12" i="29"/>
  <c r="G12" i="29"/>
  <c r="H12" i="29"/>
  <c r="P12" i="29"/>
  <c r="C13" i="29"/>
  <c r="D13" i="29"/>
  <c r="E13" i="29"/>
  <c r="F13" i="29"/>
  <c r="G13" i="29"/>
  <c r="H13" i="29"/>
  <c r="P13" i="29"/>
  <c r="C15" i="29"/>
  <c r="D15" i="29"/>
  <c r="E15" i="29"/>
  <c r="F15" i="29"/>
  <c r="G15" i="29"/>
  <c r="H15" i="29"/>
  <c r="P15" i="29"/>
  <c r="C16" i="29"/>
  <c r="D16" i="29"/>
  <c r="E16" i="29"/>
  <c r="F16" i="29"/>
  <c r="G16" i="29"/>
  <c r="H16" i="29"/>
  <c r="P16" i="29"/>
  <c r="C18" i="29"/>
  <c r="D18" i="29"/>
  <c r="E18" i="29"/>
  <c r="F18" i="29"/>
  <c r="G18" i="29"/>
  <c r="H18" i="29"/>
  <c r="P18" i="29"/>
  <c r="C19" i="29"/>
  <c r="D19" i="29"/>
  <c r="E19" i="29"/>
  <c r="F19" i="29"/>
  <c r="G19" i="29"/>
  <c r="H19" i="29"/>
  <c r="P10" i="29"/>
  <c r="H10" i="29"/>
  <c r="G10" i="29"/>
  <c r="F10" i="29"/>
  <c r="E10" i="29"/>
  <c r="D10" i="29"/>
  <c r="C10" i="29"/>
  <c r="P10" i="15"/>
  <c r="H10" i="15"/>
  <c r="H9" i="15" s="1"/>
  <c r="G10" i="15"/>
  <c r="G9" i="15" s="1"/>
  <c r="F10" i="15"/>
  <c r="E10" i="15"/>
  <c r="D10" i="15"/>
  <c r="C10" i="15"/>
  <c r="P12" i="9"/>
  <c r="H12" i="9"/>
  <c r="G12" i="9"/>
  <c r="F12" i="9"/>
  <c r="E12" i="9"/>
  <c r="D12" i="9"/>
  <c r="C12" i="9"/>
  <c r="P11" i="9"/>
  <c r="H11" i="9"/>
  <c r="F11" i="9"/>
  <c r="E11" i="9"/>
  <c r="D11" i="9"/>
  <c r="C11" i="9"/>
  <c r="P10" i="9"/>
  <c r="H10" i="9"/>
  <c r="G10" i="9"/>
  <c r="F10" i="9"/>
  <c r="E10" i="9"/>
  <c r="D10" i="9"/>
  <c r="C10" i="9"/>
  <c r="P11" i="8"/>
  <c r="H11" i="8"/>
  <c r="G11" i="8"/>
  <c r="F11" i="8"/>
  <c r="E11" i="8"/>
  <c r="D11" i="8"/>
  <c r="C11" i="8"/>
  <c r="P10" i="8"/>
  <c r="H10" i="8"/>
  <c r="G10" i="8"/>
  <c r="F10" i="8"/>
  <c r="E10" i="8"/>
  <c r="D10" i="8"/>
  <c r="C10" i="8"/>
  <c r="C22" i="33"/>
  <c r="D22" i="33"/>
  <c r="E22" i="33"/>
  <c r="F22" i="33"/>
  <c r="G22" i="33"/>
  <c r="H22" i="33"/>
  <c r="I22" i="33"/>
  <c r="J22" i="33"/>
  <c r="K22" i="33"/>
  <c r="L22" i="33"/>
  <c r="P22" i="33"/>
  <c r="C23" i="33"/>
  <c r="D23" i="33"/>
  <c r="E23" i="33"/>
  <c r="G23" i="33"/>
  <c r="H23" i="33"/>
  <c r="I23" i="33"/>
  <c r="J23" i="33"/>
  <c r="K23" i="33"/>
  <c r="L23" i="33"/>
  <c r="P23" i="33"/>
  <c r="C24" i="33"/>
  <c r="D24" i="33"/>
  <c r="E24" i="33"/>
  <c r="F24" i="33"/>
  <c r="G24" i="33"/>
  <c r="I24" i="33"/>
  <c r="J24" i="33"/>
  <c r="K24" i="33"/>
  <c r="L24" i="33"/>
  <c r="P24" i="33"/>
  <c r="C11" i="33"/>
  <c r="D11" i="33"/>
  <c r="E11" i="33"/>
  <c r="F11" i="33"/>
  <c r="G11" i="33"/>
  <c r="H11" i="33"/>
  <c r="P11" i="33"/>
  <c r="C12" i="33"/>
  <c r="D12" i="33"/>
  <c r="E12" i="33"/>
  <c r="F12" i="33"/>
  <c r="G12" i="33"/>
  <c r="H12" i="33"/>
  <c r="P12" i="33"/>
  <c r="C14" i="33"/>
  <c r="D14" i="33"/>
  <c r="E14" i="33"/>
  <c r="F14" i="33"/>
  <c r="G14" i="33"/>
  <c r="H14" i="33"/>
  <c r="P14" i="33"/>
  <c r="C13" i="33"/>
  <c r="D13" i="33"/>
  <c r="E13" i="33"/>
  <c r="F13" i="33"/>
  <c r="G13" i="33"/>
  <c r="H13" i="33"/>
  <c r="P13" i="33"/>
  <c r="C15" i="33"/>
  <c r="D15" i="33"/>
  <c r="E15" i="33"/>
  <c r="F15" i="33"/>
  <c r="G15" i="33"/>
  <c r="H15" i="33"/>
  <c r="P15" i="33"/>
  <c r="C16" i="33"/>
  <c r="D16" i="33"/>
  <c r="E16" i="33"/>
  <c r="F16" i="33"/>
  <c r="G16" i="33"/>
  <c r="P16" i="33"/>
  <c r="C17" i="33"/>
  <c r="D17" i="33"/>
  <c r="E17" i="33"/>
  <c r="F17" i="33"/>
  <c r="G17" i="33"/>
  <c r="H17" i="33"/>
  <c r="P17" i="33"/>
  <c r="C19" i="33"/>
  <c r="D19" i="33"/>
  <c r="E19" i="33"/>
  <c r="F19" i="33"/>
  <c r="H19" i="33"/>
  <c r="P19" i="33"/>
  <c r="C18" i="33"/>
  <c r="D18" i="33"/>
  <c r="E18" i="33"/>
  <c r="F18" i="33"/>
  <c r="G18" i="33"/>
  <c r="H18" i="33"/>
  <c r="P18" i="33"/>
  <c r="C20" i="33"/>
  <c r="D20" i="33"/>
  <c r="E20" i="33"/>
  <c r="F20" i="33"/>
  <c r="G20" i="33"/>
  <c r="H20" i="33"/>
  <c r="P20" i="33"/>
  <c r="P10" i="33"/>
  <c r="H10" i="33"/>
  <c r="G10" i="33"/>
  <c r="F10" i="33"/>
  <c r="E10" i="33"/>
  <c r="D10" i="33"/>
  <c r="C10" i="33"/>
  <c r="C11" i="12"/>
  <c r="D11" i="12"/>
  <c r="E11" i="12"/>
  <c r="F11" i="12"/>
  <c r="G11" i="12"/>
  <c r="H11" i="12"/>
  <c r="P11" i="12"/>
  <c r="P10" i="12"/>
  <c r="H10" i="12"/>
  <c r="G10" i="12"/>
  <c r="F10" i="12"/>
  <c r="E10" i="12"/>
  <c r="D10" i="12"/>
  <c r="C10" i="12"/>
  <c r="G14" i="29" l="1"/>
  <c r="H9" i="29"/>
  <c r="H17" i="29"/>
  <c r="G17" i="29"/>
  <c r="G9" i="29"/>
  <c r="H14" i="29"/>
  <c r="M24" i="33"/>
  <c r="M23" i="33"/>
  <c r="Q54" i="26"/>
  <c r="Q28" i="26"/>
  <c r="Q55" i="26"/>
  <c r="Q29" i="26"/>
  <c r="Q44" i="26"/>
  <c r="Q40" i="26"/>
  <c r="Q50" i="26"/>
  <c r="Q49" i="26"/>
  <c r="Q47" i="26"/>
  <c r="O35" i="28"/>
  <c r="Q37" i="26"/>
  <c r="Q39" i="26"/>
  <c r="Q58" i="26"/>
  <c r="Q33" i="26"/>
  <c r="Q59" i="26"/>
  <c r="Q42" i="26"/>
  <c r="Q45" i="26"/>
  <c r="Q35" i="26"/>
  <c r="R26" i="26"/>
  <c r="Q16" i="26"/>
  <c r="Q21" i="26"/>
  <c r="Q23" i="26"/>
  <c r="Q13" i="26"/>
  <c r="O34" i="28"/>
  <c r="N24" i="26"/>
  <c r="K24" i="26"/>
  <c r="M24" i="26"/>
  <c r="N9" i="26"/>
  <c r="M9" i="26"/>
  <c r="Q10" i="26"/>
  <c r="K9" i="26"/>
  <c r="T372" i="31"/>
  <c r="J21" i="33"/>
  <c r="M22" i="33"/>
  <c r="L21" i="33"/>
  <c r="I9" i="28"/>
  <c r="I8" i="28" s="1"/>
  <c r="K21" i="33"/>
  <c r="I21" i="33"/>
  <c r="G21" i="33"/>
  <c r="H8" i="9"/>
  <c r="H9" i="9"/>
  <c r="H9" i="12"/>
  <c r="H8" i="12" s="1"/>
  <c r="G9" i="12"/>
  <c r="G9" i="8"/>
  <c r="H9" i="8"/>
  <c r="AD285" i="31"/>
  <c r="AE286" i="31"/>
  <c r="AE287" i="31"/>
  <c r="AE288" i="31"/>
  <c r="AD375" i="31"/>
  <c r="AE281" i="31"/>
  <c r="AE375" i="31"/>
  <c r="AA375" i="31"/>
  <c r="AC375" i="31"/>
  <c r="AB375" i="31"/>
  <c r="K8" i="26" l="1"/>
  <c r="N8" i="26"/>
  <c r="M8" i="26"/>
  <c r="G8" i="29"/>
  <c r="H8" i="29"/>
  <c r="M21" i="33"/>
  <c r="N33" i="28"/>
  <c r="K33" i="28"/>
  <c r="AE285" i="31"/>
  <c r="L33" i="28"/>
  <c r="M33" i="28"/>
  <c r="O33" i="28" l="1"/>
  <c r="C15" i="21"/>
  <c r="E15" i="21"/>
  <c r="F15" i="21"/>
  <c r="G15" i="21"/>
  <c r="H15" i="21"/>
  <c r="I15" i="21"/>
  <c r="Q15" i="21"/>
  <c r="C17" i="21"/>
  <c r="E17" i="21"/>
  <c r="F17" i="21"/>
  <c r="G17" i="21"/>
  <c r="H17" i="21"/>
  <c r="I17" i="21"/>
  <c r="J17" i="21"/>
  <c r="K17" i="21"/>
  <c r="L17" i="21"/>
  <c r="M17" i="21"/>
  <c r="Q17" i="21"/>
  <c r="C24" i="21"/>
  <c r="E24" i="21"/>
  <c r="F24" i="21"/>
  <c r="G24" i="21"/>
  <c r="H24" i="21"/>
  <c r="I24" i="21"/>
  <c r="J24" i="21"/>
  <c r="K24" i="21"/>
  <c r="M24" i="21"/>
  <c r="Q24" i="21"/>
  <c r="C20" i="21"/>
  <c r="E20" i="21"/>
  <c r="F20" i="21"/>
  <c r="G20" i="21"/>
  <c r="H20" i="21"/>
  <c r="I20" i="21"/>
  <c r="J20" i="21"/>
  <c r="K20" i="21"/>
  <c r="L20" i="21"/>
  <c r="M20" i="21"/>
  <c r="N20" i="21" s="1"/>
  <c r="Q20" i="21"/>
  <c r="C19" i="21"/>
  <c r="E19" i="21"/>
  <c r="F19" i="21"/>
  <c r="G19" i="21"/>
  <c r="H19" i="21"/>
  <c r="J19" i="21"/>
  <c r="K19" i="21"/>
  <c r="L19" i="21"/>
  <c r="M19" i="21"/>
  <c r="N19" i="21" s="1"/>
  <c r="Q19" i="21"/>
  <c r="C26" i="21"/>
  <c r="E26" i="21"/>
  <c r="F26" i="21"/>
  <c r="G26" i="21"/>
  <c r="H26" i="21"/>
  <c r="J26" i="21"/>
  <c r="K26" i="21"/>
  <c r="C22" i="21"/>
  <c r="E22" i="21"/>
  <c r="F22" i="21"/>
  <c r="G22" i="21"/>
  <c r="H22" i="21"/>
  <c r="I22" i="21"/>
  <c r="J22" i="21"/>
  <c r="K22" i="21"/>
  <c r="L22" i="21"/>
  <c r="M22" i="21"/>
  <c r="Q22" i="21"/>
  <c r="C21" i="21"/>
  <c r="E21" i="21"/>
  <c r="F21" i="21"/>
  <c r="G21" i="21"/>
  <c r="H21" i="21"/>
  <c r="I21" i="21"/>
  <c r="J21" i="21"/>
  <c r="K21" i="21"/>
  <c r="L21" i="21"/>
  <c r="M21" i="21"/>
  <c r="N21" i="21" s="1"/>
  <c r="Q21" i="21"/>
  <c r="C27" i="21"/>
  <c r="E27" i="21"/>
  <c r="F27" i="21"/>
  <c r="G27" i="21"/>
  <c r="H27" i="21"/>
  <c r="I27" i="21"/>
  <c r="J27" i="21"/>
  <c r="K27" i="21"/>
  <c r="M27" i="21"/>
  <c r="Q27" i="21"/>
  <c r="C25" i="21"/>
  <c r="E25" i="21"/>
  <c r="F25" i="21"/>
  <c r="G25" i="21"/>
  <c r="H25" i="21"/>
  <c r="I25" i="21"/>
  <c r="J25" i="21"/>
  <c r="K25" i="21"/>
  <c r="M25" i="21"/>
  <c r="Q18" i="21"/>
  <c r="M18" i="21"/>
  <c r="K18" i="21"/>
  <c r="J18" i="21"/>
  <c r="I18" i="21"/>
  <c r="H18" i="21"/>
  <c r="G18" i="21"/>
  <c r="F18" i="21"/>
  <c r="E18" i="21"/>
  <c r="C18" i="21"/>
  <c r="C14" i="21"/>
  <c r="E14" i="21"/>
  <c r="F14" i="21"/>
  <c r="G14" i="21"/>
  <c r="H14" i="21"/>
  <c r="I14" i="21"/>
  <c r="Q14" i="21"/>
  <c r="C13" i="21"/>
  <c r="E13" i="21"/>
  <c r="F13" i="21"/>
  <c r="G13" i="21"/>
  <c r="H13" i="21"/>
  <c r="I13" i="21"/>
  <c r="Q13" i="21"/>
  <c r="C11" i="21"/>
  <c r="E11" i="21"/>
  <c r="F11" i="21"/>
  <c r="G11" i="21"/>
  <c r="H11" i="21"/>
  <c r="I11" i="21"/>
  <c r="Q11" i="21"/>
  <c r="C12" i="21"/>
  <c r="E12" i="21"/>
  <c r="F12" i="21"/>
  <c r="G12" i="21"/>
  <c r="H12" i="21"/>
  <c r="I12" i="21"/>
  <c r="Q12" i="21"/>
  <c r="Q10" i="21"/>
  <c r="I10" i="21"/>
  <c r="H10" i="21"/>
  <c r="G10" i="21"/>
  <c r="F10" i="21"/>
  <c r="E10" i="21"/>
  <c r="C10" i="21"/>
  <c r="C62" i="20"/>
  <c r="E62" i="20"/>
  <c r="F62" i="20"/>
  <c r="G62" i="20"/>
  <c r="H62" i="20"/>
  <c r="I62" i="20"/>
  <c r="Q62" i="20"/>
  <c r="C54" i="20"/>
  <c r="E54" i="20"/>
  <c r="F54" i="20"/>
  <c r="G54" i="20"/>
  <c r="H54" i="20"/>
  <c r="I54" i="20"/>
  <c r="Q54" i="20"/>
  <c r="C55" i="20"/>
  <c r="E55" i="20"/>
  <c r="F55" i="20"/>
  <c r="G55" i="20"/>
  <c r="H55" i="20"/>
  <c r="I55" i="20"/>
  <c r="Q55" i="20"/>
  <c r="C56" i="20"/>
  <c r="E56" i="20"/>
  <c r="F56" i="20"/>
  <c r="G56" i="20"/>
  <c r="H56" i="20"/>
  <c r="I56" i="20"/>
  <c r="Q56" i="20"/>
  <c r="C57" i="20"/>
  <c r="E57" i="20"/>
  <c r="F57" i="20"/>
  <c r="G57" i="20"/>
  <c r="H57" i="20"/>
  <c r="I57" i="20"/>
  <c r="Q57" i="20"/>
  <c r="C58" i="20"/>
  <c r="E58" i="20"/>
  <c r="F58" i="20"/>
  <c r="G58" i="20"/>
  <c r="H58" i="20"/>
  <c r="I58" i="20"/>
  <c r="Q58" i="20"/>
  <c r="C59" i="20"/>
  <c r="E59" i="20"/>
  <c r="F59" i="20"/>
  <c r="G59" i="20"/>
  <c r="H59" i="20"/>
  <c r="I59" i="20"/>
  <c r="Q59" i="20"/>
  <c r="C60" i="20"/>
  <c r="E60" i="20"/>
  <c r="F60" i="20"/>
  <c r="G60" i="20"/>
  <c r="H60" i="20"/>
  <c r="I60" i="20"/>
  <c r="Q60" i="20"/>
  <c r="C63" i="20"/>
  <c r="E63" i="20"/>
  <c r="F63" i="20"/>
  <c r="G63" i="20"/>
  <c r="H63" i="20"/>
  <c r="I63" i="20"/>
  <c r="Q63" i="20"/>
  <c r="C61" i="20"/>
  <c r="E61" i="20"/>
  <c r="F61" i="20"/>
  <c r="G61" i="20"/>
  <c r="H61" i="20"/>
  <c r="I61" i="20"/>
  <c r="Q61" i="20"/>
  <c r="C64" i="20"/>
  <c r="E64" i="20"/>
  <c r="F64" i="20"/>
  <c r="G64" i="20"/>
  <c r="H64" i="20"/>
  <c r="I64" i="20"/>
  <c r="Q64" i="20"/>
  <c r="C65" i="20"/>
  <c r="E65" i="20"/>
  <c r="F65" i="20"/>
  <c r="G65" i="20"/>
  <c r="H65" i="20"/>
  <c r="I65" i="20"/>
  <c r="Q65" i="20"/>
  <c r="C67" i="20"/>
  <c r="E67" i="20"/>
  <c r="F67" i="20"/>
  <c r="G67" i="20"/>
  <c r="H67" i="20"/>
  <c r="I67" i="20"/>
  <c r="Q67" i="20"/>
  <c r="C74" i="20"/>
  <c r="E74" i="20"/>
  <c r="F74" i="20"/>
  <c r="G74" i="20"/>
  <c r="H74" i="20"/>
  <c r="I74" i="20"/>
  <c r="Q74" i="20"/>
  <c r="C68" i="20"/>
  <c r="E68" i="20"/>
  <c r="F68" i="20"/>
  <c r="G68" i="20"/>
  <c r="H68" i="20"/>
  <c r="I68" i="20"/>
  <c r="Q68" i="20"/>
  <c r="C69" i="20"/>
  <c r="E69" i="20"/>
  <c r="F69" i="20"/>
  <c r="G69" i="20"/>
  <c r="H69" i="20"/>
  <c r="I69" i="20"/>
  <c r="Q69" i="20"/>
  <c r="C70" i="20"/>
  <c r="E70" i="20"/>
  <c r="F70" i="20"/>
  <c r="G70" i="20"/>
  <c r="H70" i="20"/>
  <c r="I70" i="20"/>
  <c r="Q70" i="20"/>
  <c r="C71" i="20"/>
  <c r="E71" i="20"/>
  <c r="F71" i="20"/>
  <c r="G71" i="20"/>
  <c r="H71" i="20"/>
  <c r="I71" i="20"/>
  <c r="Q71" i="20"/>
  <c r="C73" i="20"/>
  <c r="E73" i="20"/>
  <c r="F73" i="20"/>
  <c r="G73" i="20"/>
  <c r="H73" i="20"/>
  <c r="I73" i="20"/>
  <c r="Q73" i="20"/>
  <c r="C75" i="20"/>
  <c r="E75" i="20"/>
  <c r="F75" i="20"/>
  <c r="G75" i="20"/>
  <c r="H75" i="20"/>
  <c r="I75" i="20"/>
  <c r="Q75" i="20"/>
  <c r="C76" i="20"/>
  <c r="E76" i="20"/>
  <c r="F76" i="20"/>
  <c r="G76" i="20"/>
  <c r="H76" i="20"/>
  <c r="I76" i="20"/>
  <c r="Q76" i="20"/>
  <c r="C77" i="20"/>
  <c r="E77" i="20"/>
  <c r="F77" i="20"/>
  <c r="G77" i="20"/>
  <c r="H77" i="20"/>
  <c r="I77" i="20"/>
  <c r="Q77" i="20"/>
  <c r="C79" i="20"/>
  <c r="E79" i="20"/>
  <c r="F79" i="20"/>
  <c r="G79" i="20"/>
  <c r="H79" i="20"/>
  <c r="I79" i="20"/>
  <c r="Q79" i="20"/>
  <c r="C78" i="20"/>
  <c r="E78" i="20"/>
  <c r="F78" i="20"/>
  <c r="G78" i="20"/>
  <c r="H78" i="20"/>
  <c r="I78" i="20"/>
  <c r="Q78" i="20"/>
  <c r="C80" i="20"/>
  <c r="E80" i="20"/>
  <c r="F80" i="20"/>
  <c r="G80" i="20"/>
  <c r="H80" i="20"/>
  <c r="I80" i="20"/>
  <c r="Q80" i="20"/>
  <c r="C81" i="20"/>
  <c r="E81" i="20"/>
  <c r="F81" i="20"/>
  <c r="G81" i="20"/>
  <c r="H81" i="20"/>
  <c r="I81" i="20"/>
  <c r="Q81" i="20"/>
  <c r="C66" i="20"/>
  <c r="E66" i="20"/>
  <c r="F66" i="20"/>
  <c r="G66" i="20"/>
  <c r="H66" i="20"/>
  <c r="I66" i="20"/>
  <c r="Q66" i="20"/>
  <c r="C82" i="20"/>
  <c r="E82" i="20"/>
  <c r="F82" i="20"/>
  <c r="G82" i="20"/>
  <c r="H82" i="20"/>
  <c r="I82" i="20"/>
  <c r="Q82" i="20"/>
  <c r="C83" i="20"/>
  <c r="E83" i="20"/>
  <c r="F83" i="20"/>
  <c r="G83" i="20"/>
  <c r="H83" i="20"/>
  <c r="I83" i="20"/>
  <c r="Q83" i="20"/>
  <c r="C84" i="20"/>
  <c r="E84" i="20"/>
  <c r="F84" i="20"/>
  <c r="G84" i="20"/>
  <c r="H84" i="20"/>
  <c r="I84" i="20"/>
  <c r="Q84" i="20"/>
  <c r="C72" i="20"/>
  <c r="E72" i="20"/>
  <c r="F72" i="20"/>
  <c r="G72" i="20"/>
  <c r="H72" i="20"/>
  <c r="I72" i="20"/>
  <c r="Q72" i="20"/>
  <c r="C85" i="20"/>
  <c r="E85" i="20"/>
  <c r="F85" i="20"/>
  <c r="G85" i="20"/>
  <c r="H85" i="20"/>
  <c r="I85" i="20"/>
  <c r="Q85" i="20"/>
  <c r="C91" i="20"/>
  <c r="E91" i="20"/>
  <c r="F91" i="20"/>
  <c r="G91" i="20"/>
  <c r="H91" i="20"/>
  <c r="I91" i="20"/>
  <c r="J91" i="20"/>
  <c r="K91" i="20"/>
  <c r="L91" i="20"/>
  <c r="M91" i="20"/>
  <c r="N91" i="20" s="1"/>
  <c r="Q91" i="20"/>
  <c r="C107" i="20"/>
  <c r="E107" i="20"/>
  <c r="F107" i="20"/>
  <c r="G107" i="20"/>
  <c r="H107" i="20"/>
  <c r="I107" i="20"/>
  <c r="J107" i="20"/>
  <c r="K107" i="20"/>
  <c r="L107" i="20"/>
  <c r="M107" i="20"/>
  <c r="Q107" i="20"/>
  <c r="C103" i="20"/>
  <c r="E103" i="20"/>
  <c r="F103" i="20"/>
  <c r="G103" i="20"/>
  <c r="Q103" i="20"/>
  <c r="C93" i="20"/>
  <c r="E93" i="20"/>
  <c r="F93" i="20"/>
  <c r="G93" i="20"/>
  <c r="H93" i="20"/>
  <c r="I93" i="20"/>
  <c r="J93" i="20"/>
  <c r="K93" i="20"/>
  <c r="L93" i="20"/>
  <c r="M93" i="20"/>
  <c r="N93" i="20" s="1"/>
  <c r="Q93" i="20"/>
  <c r="C87" i="20"/>
  <c r="E87" i="20"/>
  <c r="F87" i="20"/>
  <c r="G87" i="20"/>
  <c r="Q87" i="20"/>
  <c r="C95" i="20"/>
  <c r="E95" i="20"/>
  <c r="F95" i="20"/>
  <c r="G95" i="20"/>
  <c r="H95" i="20"/>
  <c r="J95" i="20"/>
  <c r="K95" i="20"/>
  <c r="L95" i="20"/>
  <c r="M95" i="20"/>
  <c r="N95" i="20" s="1"/>
  <c r="Q95" i="20"/>
  <c r="C94" i="20"/>
  <c r="E94" i="20"/>
  <c r="F94" i="20"/>
  <c r="G94" i="20"/>
  <c r="H94" i="20"/>
  <c r="I94" i="20"/>
  <c r="J94" i="20"/>
  <c r="K94" i="20"/>
  <c r="L94" i="20"/>
  <c r="M94" i="20"/>
  <c r="N94" i="20" s="1"/>
  <c r="Q94" i="20"/>
  <c r="C108" i="20"/>
  <c r="E108" i="20"/>
  <c r="F108" i="20"/>
  <c r="H108" i="20"/>
  <c r="J108" i="20"/>
  <c r="K108" i="20"/>
  <c r="Q108" i="20"/>
  <c r="C88" i="20"/>
  <c r="E88" i="20"/>
  <c r="F88" i="20"/>
  <c r="G88" i="20"/>
  <c r="H88" i="20"/>
  <c r="I88" i="20"/>
  <c r="J88" i="20"/>
  <c r="K88" i="20"/>
  <c r="L88" i="20"/>
  <c r="M88" i="20"/>
  <c r="N88" i="20" s="1"/>
  <c r="Q88" i="20"/>
  <c r="C100" i="20"/>
  <c r="E100" i="20"/>
  <c r="F100" i="20"/>
  <c r="G100" i="20"/>
  <c r="H100" i="20"/>
  <c r="I100" i="20"/>
  <c r="J100" i="20"/>
  <c r="K100" i="20"/>
  <c r="L100" i="20"/>
  <c r="M100" i="20"/>
  <c r="N100" i="20" s="1"/>
  <c r="Q100" i="20"/>
  <c r="C99" i="20"/>
  <c r="E99" i="20"/>
  <c r="F99" i="20"/>
  <c r="G99" i="20"/>
  <c r="H99" i="20"/>
  <c r="J99" i="20"/>
  <c r="K99" i="20"/>
  <c r="L99" i="20"/>
  <c r="M99" i="20"/>
  <c r="N99" i="20" s="1"/>
  <c r="Q99" i="20"/>
  <c r="C86" i="20"/>
  <c r="E86" i="20"/>
  <c r="F86" i="20"/>
  <c r="G86" i="20"/>
  <c r="H86" i="20"/>
  <c r="I86" i="20"/>
  <c r="J86" i="20"/>
  <c r="K86" i="20"/>
  <c r="L86" i="20"/>
  <c r="M86" i="20"/>
  <c r="N86" i="20" s="1"/>
  <c r="Q86" i="20"/>
  <c r="C101" i="20"/>
  <c r="E101" i="20"/>
  <c r="F101" i="20"/>
  <c r="G101" i="20"/>
  <c r="H101" i="20"/>
  <c r="I101" i="20"/>
  <c r="J101" i="20"/>
  <c r="K101" i="20"/>
  <c r="L101" i="20"/>
  <c r="M101" i="20"/>
  <c r="N101" i="20" s="1"/>
  <c r="Q101" i="20"/>
  <c r="C90" i="20"/>
  <c r="E90" i="20"/>
  <c r="F90" i="20"/>
  <c r="G90" i="20"/>
  <c r="H90" i="20"/>
  <c r="I90" i="20"/>
  <c r="J90" i="20"/>
  <c r="K90" i="20"/>
  <c r="L90" i="20"/>
  <c r="M90" i="20"/>
  <c r="N90" i="20" s="1"/>
  <c r="Q90" i="20"/>
  <c r="C96" i="20"/>
  <c r="E96" i="20"/>
  <c r="F96" i="20"/>
  <c r="G96" i="20"/>
  <c r="H96" i="20"/>
  <c r="I96" i="20"/>
  <c r="J96" i="20"/>
  <c r="K96" i="20"/>
  <c r="L96" i="20"/>
  <c r="M96" i="20"/>
  <c r="N96" i="20" s="1"/>
  <c r="Q96" i="20"/>
  <c r="C89" i="20"/>
  <c r="E89" i="20"/>
  <c r="F89" i="20"/>
  <c r="G89" i="20"/>
  <c r="H89" i="20"/>
  <c r="I89" i="20"/>
  <c r="J89" i="20"/>
  <c r="K89" i="20"/>
  <c r="L89" i="20"/>
  <c r="M89" i="20"/>
  <c r="N89" i="20" s="1"/>
  <c r="Q89" i="20"/>
  <c r="C92" i="20"/>
  <c r="E92" i="20"/>
  <c r="F92" i="20"/>
  <c r="G92" i="20"/>
  <c r="H92" i="20"/>
  <c r="I92" i="20"/>
  <c r="J92" i="20"/>
  <c r="K92" i="20"/>
  <c r="L92" i="20"/>
  <c r="M92" i="20"/>
  <c r="N92" i="20" s="1"/>
  <c r="Q92" i="20"/>
  <c r="C97" i="20"/>
  <c r="E97" i="20"/>
  <c r="F97" i="20"/>
  <c r="G97" i="20"/>
  <c r="H97" i="20"/>
  <c r="I97" i="20"/>
  <c r="J97" i="20"/>
  <c r="K97" i="20"/>
  <c r="L97" i="20"/>
  <c r="M97" i="20"/>
  <c r="N97" i="20" s="1"/>
  <c r="Q97" i="20"/>
  <c r="C98" i="20"/>
  <c r="E98" i="20"/>
  <c r="F98" i="20"/>
  <c r="G98" i="20"/>
  <c r="H98" i="20"/>
  <c r="I98" i="20"/>
  <c r="J98" i="20"/>
  <c r="K98" i="20"/>
  <c r="L98" i="20"/>
  <c r="M98" i="20"/>
  <c r="N98" i="20" s="1"/>
  <c r="Q98" i="20"/>
  <c r="C109" i="20"/>
  <c r="E109" i="20"/>
  <c r="F109" i="20"/>
  <c r="G109" i="20"/>
  <c r="Q109" i="20"/>
  <c r="C113" i="20"/>
  <c r="E113" i="20"/>
  <c r="F113" i="20"/>
  <c r="G113" i="20"/>
  <c r="Q113" i="20"/>
  <c r="C112" i="20"/>
  <c r="E112" i="20"/>
  <c r="F112" i="20"/>
  <c r="G112" i="20"/>
  <c r="H112" i="20"/>
  <c r="I112" i="20"/>
  <c r="J112" i="20"/>
  <c r="K112" i="20"/>
  <c r="L112" i="20"/>
  <c r="M112" i="20"/>
  <c r="Q112" i="20"/>
  <c r="C111" i="20"/>
  <c r="E111" i="20"/>
  <c r="F111" i="20"/>
  <c r="G111" i="20"/>
  <c r="H111" i="20"/>
  <c r="I111" i="20"/>
  <c r="J111" i="20"/>
  <c r="K111" i="20"/>
  <c r="Q111" i="20"/>
  <c r="C105" i="20"/>
  <c r="E105" i="20"/>
  <c r="F105" i="20"/>
  <c r="G105" i="20"/>
  <c r="H105" i="20"/>
  <c r="I105" i="20"/>
  <c r="J105" i="20"/>
  <c r="K105" i="20"/>
  <c r="L105" i="20"/>
  <c r="M105" i="20"/>
  <c r="Q105" i="20"/>
  <c r="Q53" i="20"/>
  <c r="I53" i="20"/>
  <c r="H53" i="20"/>
  <c r="G53" i="20"/>
  <c r="F53" i="20"/>
  <c r="E53" i="20"/>
  <c r="C53" i="20"/>
  <c r="C15" i="20"/>
  <c r="E15" i="20"/>
  <c r="F15" i="20"/>
  <c r="G15" i="20"/>
  <c r="H15" i="20"/>
  <c r="I15" i="20"/>
  <c r="Q15" i="20"/>
  <c r="C11" i="20"/>
  <c r="E11" i="20"/>
  <c r="F11" i="20"/>
  <c r="G11" i="20"/>
  <c r="H11" i="20"/>
  <c r="I11" i="20"/>
  <c r="Q11" i="20"/>
  <c r="C12" i="20"/>
  <c r="E12" i="20"/>
  <c r="F12" i="20"/>
  <c r="G12" i="20"/>
  <c r="H12" i="20"/>
  <c r="I12" i="20"/>
  <c r="Q12" i="20"/>
  <c r="C17" i="20"/>
  <c r="E17" i="20"/>
  <c r="F17" i="20"/>
  <c r="G17" i="20"/>
  <c r="H17" i="20"/>
  <c r="I17" i="20"/>
  <c r="Q17" i="20"/>
  <c r="C18" i="20"/>
  <c r="E18" i="20"/>
  <c r="F18" i="20"/>
  <c r="G18" i="20"/>
  <c r="H18" i="20"/>
  <c r="I18" i="20"/>
  <c r="Q18" i="20"/>
  <c r="C19" i="20"/>
  <c r="E19" i="20"/>
  <c r="F19" i="20"/>
  <c r="G19" i="20"/>
  <c r="H19" i="20"/>
  <c r="I19" i="20"/>
  <c r="Q19" i="20"/>
  <c r="C20" i="20"/>
  <c r="E20" i="20"/>
  <c r="F20" i="20"/>
  <c r="G20" i="20"/>
  <c r="H20" i="20"/>
  <c r="I20" i="20"/>
  <c r="Q20" i="20"/>
  <c r="C21" i="20"/>
  <c r="E21" i="20"/>
  <c r="F21" i="20"/>
  <c r="G21" i="20"/>
  <c r="H21" i="20"/>
  <c r="I21" i="20"/>
  <c r="Q21" i="20"/>
  <c r="C22" i="20"/>
  <c r="E22" i="20"/>
  <c r="F22" i="20"/>
  <c r="G22" i="20"/>
  <c r="H22" i="20"/>
  <c r="I22" i="20"/>
  <c r="Q22" i="20"/>
  <c r="C23" i="20"/>
  <c r="E23" i="20"/>
  <c r="F23" i="20"/>
  <c r="G23" i="20"/>
  <c r="H23" i="20"/>
  <c r="I23" i="20"/>
  <c r="Q23" i="20"/>
  <c r="C25" i="20"/>
  <c r="E25" i="20"/>
  <c r="F25" i="20"/>
  <c r="G25" i="20"/>
  <c r="H25" i="20"/>
  <c r="I25" i="20"/>
  <c r="Q25" i="20"/>
  <c r="C26" i="20"/>
  <c r="E26" i="20"/>
  <c r="F26" i="20"/>
  <c r="G26" i="20"/>
  <c r="H26" i="20"/>
  <c r="I26" i="20"/>
  <c r="Q26" i="20"/>
  <c r="C27" i="20"/>
  <c r="E27" i="20"/>
  <c r="F27" i="20"/>
  <c r="G27" i="20"/>
  <c r="H27" i="20"/>
  <c r="I27" i="20"/>
  <c r="Q27" i="20"/>
  <c r="C28" i="20"/>
  <c r="E28" i="20"/>
  <c r="F28" i="20"/>
  <c r="G28" i="20"/>
  <c r="H28" i="20"/>
  <c r="I28" i="20"/>
  <c r="Q28" i="20"/>
  <c r="C29" i="20"/>
  <c r="E29" i="20"/>
  <c r="F29" i="20"/>
  <c r="G29" i="20"/>
  <c r="H29" i="20"/>
  <c r="I29" i="20"/>
  <c r="Q29" i="20"/>
  <c r="C30" i="20"/>
  <c r="E30" i="20"/>
  <c r="F30" i="20"/>
  <c r="G30" i="20"/>
  <c r="H30" i="20"/>
  <c r="I30" i="20"/>
  <c r="Q30" i="20"/>
  <c r="C31" i="20"/>
  <c r="E31" i="20"/>
  <c r="F31" i="20"/>
  <c r="G31" i="20"/>
  <c r="H31" i="20"/>
  <c r="I31" i="20"/>
  <c r="Q31" i="20"/>
  <c r="C32" i="20"/>
  <c r="E32" i="20"/>
  <c r="F32" i="20"/>
  <c r="G32" i="20"/>
  <c r="H32" i="20"/>
  <c r="I32" i="20"/>
  <c r="Q32" i="20"/>
  <c r="C33" i="20"/>
  <c r="E33" i="20"/>
  <c r="F33" i="20"/>
  <c r="G33" i="20"/>
  <c r="H33" i="20"/>
  <c r="I33" i="20"/>
  <c r="Q33" i="20"/>
  <c r="C34" i="20"/>
  <c r="E34" i="20"/>
  <c r="F34" i="20"/>
  <c r="G34" i="20"/>
  <c r="H34" i="20"/>
  <c r="I34" i="20"/>
  <c r="Q34" i="20"/>
  <c r="C35" i="20"/>
  <c r="E35" i="20"/>
  <c r="F35" i="20"/>
  <c r="G35" i="20"/>
  <c r="H35" i="20"/>
  <c r="I35" i="20"/>
  <c r="Q35" i="20"/>
  <c r="C36" i="20"/>
  <c r="E36" i="20"/>
  <c r="F36" i="20"/>
  <c r="G36" i="20"/>
  <c r="H36" i="20"/>
  <c r="I36" i="20"/>
  <c r="Q36" i="20"/>
  <c r="C37" i="20"/>
  <c r="E37" i="20"/>
  <c r="F37" i="20"/>
  <c r="G37" i="20"/>
  <c r="H37" i="20"/>
  <c r="I37" i="20"/>
  <c r="Q37" i="20"/>
  <c r="C38" i="20"/>
  <c r="E38" i="20"/>
  <c r="F38" i="20"/>
  <c r="G38" i="20"/>
  <c r="H38" i="20"/>
  <c r="I38" i="20"/>
  <c r="Q38" i="20"/>
  <c r="C39" i="20"/>
  <c r="E39" i="20"/>
  <c r="F39" i="20"/>
  <c r="G39" i="20"/>
  <c r="H39" i="20"/>
  <c r="I39" i="20"/>
  <c r="Q39" i="20"/>
  <c r="C40" i="20"/>
  <c r="E40" i="20"/>
  <c r="F40" i="20"/>
  <c r="G40" i="20"/>
  <c r="H40" i="20"/>
  <c r="I40" i="20"/>
  <c r="Q40" i="20"/>
  <c r="C41" i="20"/>
  <c r="E41" i="20"/>
  <c r="F41" i="20"/>
  <c r="G41" i="20"/>
  <c r="H41" i="20"/>
  <c r="I41" i="20"/>
  <c r="Q41" i="20"/>
  <c r="C42" i="20"/>
  <c r="E42" i="20"/>
  <c r="F42" i="20"/>
  <c r="G42" i="20"/>
  <c r="H42" i="20"/>
  <c r="I42" i="20"/>
  <c r="Q42" i="20"/>
  <c r="C43" i="20"/>
  <c r="E43" i="20"/>
  <c r="F43" i="20"/>
  <c r="G43" i="20"/>
  <c r="H43" i="20"/>
  <c r="I43" i="20"/>
  <c r="Q43" i="20"/>
  <c r="C44" i="20"/>
  <c r="E44" i="20"/>
  <c r="F44" i="20"/>
  <c r="G44" i="20"/>
  <c r="H44" i="20"/>
  <c r="I44" i="20"/>
  <c r="Q44" i="20"/>
  <c r="C45" i="20"/>
  <c r="E45" i="20"/>
  <c r="F45" i="20"/>
  <c r="G45" i="20"/>
  <c r="H45" i="20"/>
  <c r="I45" i="20"/>
  <c r="Q45" i="20"/>
  <c r="C46" i="20"/>
  <c r="E46" i="20"/>
  <c r="F46" i="20"/>
  <c r="G46" i="20"/>
  <c r="H46" i="20"/>
  <c r="I46" i="20"/>
  <c r="Q46" i="20"/>
  <c r="C47" i="20"/>
  <c r="E47" i="20"/>
  <c r="F47" i="20"/>
  <c r="G47" i="20"/>
  <c r="H47" i="20"/>
  <c r="I47" i="20"/>
  <c r="Q47" i="20"/>
  <c r="C48" i="20"/>
  <c r="E48" i="20"/>
  <c r="F48" i="20"/>
  <c r="G48" i="20"/>
  <c r="H48" i="20"/>
  <c r="I48" i="20"/>
  <c r="Q48" i="20"/>
  <c r="C49" i="20"/>
  <c r="E49" i="20"/>
  <c r="F49" i="20"/>
  <c r="G49" i="20"/>
  <c r="H49" i="20"/>
  <c r="I49" i="20"/>
  <c r="Q49" i="20"/>
  <c r="C50" i="20"/>
  <c r="E50" i="20"/>
  <c r="F50" i="20"/>
  <c r="G50" i="20"/>
  <c r="H50" i="20"/>
  <c r="I50" i="20"/>
  <c r="Q50" i="20"/>
  <c r="C51" i="20"/>
  <c r="E51" i="20"/>
  <c r="F51" i="20"/>
  <c r="G51" i="20"/>
  <c r="H51" i="20"/>
  <c r="I51" i="20"/>
  <c r="Q51" i="20"/>
  <c r="C52" i="20"/>
  <c r="E52" i="20"/>
  <c r="F52" i="20"/>
  <c r="G52" i="20"/>
  <c r="H52" i="20"/>
  <c r="I52" i="20"/>
  <c r="Q52" i="20"/>
  <c r="C14" i="20"/>
  <c r="E14" i="20"/>
  <c r="F14" i="20"/>
  <c r="G14" i="20"/>
  <c r="H14" i="20"/>
  <c r="I14" i="20"/>
  <c r="Q14" i="20"/>
  <c r="C10" i="20"/>
  <c r="E10" i="20"/>
  <c r="F10" i="20"/>
  <c r="G10" i="20"/>
  <c r="H10" i="20"/>
  <c r="I10" i="20"/>
  <c r="Q10" i="20"/>
  <c r="C16" i="20"/>
  <c r="E16" i="20"/>
  <c r="F16" i="20"/>
  <c r="G16" i="20"/>
  <c r="H16" i="20"/>
  <c r="I16" i="20"/>
  <c r="Q16" i="20"/>
  <c r="C24" i="20"/>
  <c r="E24" i="20"/>
  <c r="F24" i="20"/>
  <c r="G24" i="20"/>
  <c r="H24" i="20"/>
  <c r="I24" i="20"/>
  <c r="Q24" i="20"/>
  <c r="Q13" i="20"/>
  <c r="I13" i="20"/>
  <c r="H13" i="20"/>
  <c r="G13" i="20"/>
  <c r="F13" i="20"/>
  <c r="E13" i="20"/>
  <c r="C13" i="20"/>
  <c r="C16" i="1"/>
  <c r="D16" i="1"/>
  <c r="E16" i="1"/>
  <c r="F16" i="1"/>
  <c r="G16" i="1"/>
  <c r="H16" i="1"/>
  <c r="I16" i="1"/>
  <c r="J16" i="1"/>
  <c r="P16" i="1"/>
  <c r="C17" i="1"/>
  <c r="D17" i="1"/>
  <c r="E17" i="1"/>
  <c r="F17" i="1"/>
  <c r="G17" i="1"/>
  <c r="H17" i="1"/>
  <c r="I17" i="1"/>
  <c r="J17" i="1"/>
  <c r="P17" i="1"/>
  <c r="P18" i="1"/>
  <c r="J18" i="1"/>
  <c r="I18" i="1"/>
  <c r="H18" i="1"/>
  <c r="G18" i="1"/>
  <c r="F18" i="1"/>
  <c r="E18" i="1"/>
  <c r="D18" i="1"/>
  <c r="C18" i="1"/>
  <c r="C11" i="1"/>
  <c r="D11" i="1"/>
  <c r="E11" i="1"/>
  <c r="F11" i="1"/>
  <c r="G11" i="1"/>
  <c r="H11" i="1"/>
  <c r="P11" i="1"/>
  <c r="C12" i="1"/>
  <c r="D12" i="1"/>
  <c r="E12" i="1"/>
  <c r="F12" i="1"/>
  <c r="G12" i="1"/>
  <c r="H12" i="1"/>
  <c r="P12" i="1"/>
  <c r="C13" i="1"/>
  <c r="D13" i="1"/>
  <c r="E13" i="1"/>
  <c r="F13" i="1"/>
  <c r="G13" i="1"/>
  <c r="H13" i="1"/>
  <c r="P13" i="1"/>
  <c r="C14" i="1"/>
  <c r="D14" i="1"/>
  <c r="E14" i="1"/>
  <c r="F14" i="1"/>
  <c r="G14" i="1"/>
  <c r="H14" i="1"/>
  <c r="P14" i="1"/>
  <c r="P10" i="1"/>
  <c r="H10" i="1"/>
  <c r="G10" i="1"/>
  <c r="F10" i="1"/>
  <c r="E10" i="1"/>
  <c r="D10" i="1"/>
  <c r="C10" i="1"/>
  <c r="I9" i="21" l="1"/>
  <c r="H9" i="21"/>
  <c r="K23" i="21"/>
  <c r="J16" i="21"/>
  <c r="J23" i="21"/>
  <c r="M16" i="21"/>
  <c r="H16" i="21"/>
  <c r="H23" i="21"/>
  <c r="K16" i="21"/>
  <c r="L102" i="20"/>
  <c r="J102" i="20"/>
  <c r="H102" i="20"/>
  <c r="M102" i="20"/>
  <c r="K102" i="20"/>
  <c r="I102" i="20"/>
  <c r="H9" i="1"/>
  <c r="I15" i="1"/>
  <c r="G15" i="1"/>
  <c r="N112" i="20"/>
  <c r="G9" i="1"/>
  <c r="J15" i="1"/>
  <c r="H15" i="1"/>
  <c r="N107" i="20"/>
  <c r="N27" i="21"/>
  <c r="N24" i="21"/>
  <c r="N18" i="21"/>
  <c r="N17" i="21"/>
  <c r="J106" i="20"/>
  <c r="K106" i="20"/>
  <c r="H106" i="20"/>
  <c r="N105" i="20"/>
  <c r="N25" i="21"/>
  <c r="N22" i="21"/>
  <c r="H9" i="20"/>
  <c r="H8" i="21" l="1"/>
  <c r="N16" i="21"/>
  <c r="H8" i="20"/>
  <c r="N102" i="20"/>
  <c r="G8" i="1"/>
  <c r="H8" i="1"/>
  <c r="AD374" i="31"/>
  <c r="AD373" i="31"/>
  <c r="Z214" i="31"/>
  <c r="P478" i="31"/>
  <c r="P467" i="31" s="1"/>
  <c r="AF467" i="31"/>
  <c r="P465" i="31"/>
  <c r="AD465" i="31" s="1"/>
  <c r="P464" i="31"/>
  <c r="AF459" i="31"/>
  <c r="AC459" i="31"/>
  <c r="AC458" i="31" s="1"/>
  <c r="AA459" i="31"/>
  <c r="AA458" i="31" s="1"/>
  <c r="N459" i="31"/>
  <c r="N458" i="31" s="1"/>
  <c r="P452" i="31"/>
  <c r="AD452" i="31" s="1"/>
  <c r="P451" i="31"/>
  <c r="AD451" i="31" s="1"/>
  <c r="P448" i="31"/>
  <c r="AD448" i="31" s="1"/>
  <c r="P447" i="31"/>
  <c r="AD447" i="31" s="1"/>
  <c r="P444" i="31"/>
  <c r="AD444" i="31" s="1"/>
  <c r="P443" i="31"/>
  <c r="AD443" i="31" s="1"/>
  <c r="P442" i="31"/>
  <c r="AD442" i="31" s="1"/>
  <c r="P441" i="31"/>
  <c r="AD441" i="31" s="1"/>
  <c r="P440" i="31"/>
  <c r="AD440" i="31" s="1"/>
  <c r="P437" i="31"/>
  <c r="AD437" i="31" s="1"/>
  <c r="P436" i="31"/>
  <c r="AD436" i="31" s="1"/>
  <c r="P435" i="31"/>
  <c r="AD435" i="31" s="1"/>
  <c r="P431" i="31"/>
  <c r="P430" i="31"/>
  <c r="P429" i="31"/>
  <c r="P427" i="31"/>
  <c r="AD427" i="31" s="1"/>
  <c r="P426" i="31"/>
  <c r="AF411" i="31"/>
  <c r="N411" i="31"/>
  <c r="P410" i="31"/>
  <c r="P409" i="31"/>
  <c r="P408" i="31"/>
  <c r="AD407" i="31"/>
  <c r="AD406" i="31"/>
  <c r="P405" i="31"/>
  <c r="P404" i="31"/>
  <c r="P403" i="31"/>
  <c r="AC396" i="31"/>
  <c r="AC395" i="31" s="1"/>
  <c r="AA396" i="31"/>
  <c r="AA395" i="31" s="1"/>
  <c r="N396" i="31"/>
  <c r="K191" i="36"/>
  <c r="P306" i="31"/>
  <c r="H24" i="33" s="1"/>
  <c r="AE303" i="31"/>
  <c r="AD303" i="31"/>
  <c r="AC303" i="31"/>
  <c r="AA303" i="31"/>
  <c r="N303" i="31"/>
  <c r="N395" i="31" l="1"/>
  <c r="H21" i="33"/>
  <c r="AD404" i="31"/>
  <c r="AD408" i="31"/>
  <c r="AD410" i="31"/>
  <c r="AD464" i="31"/>
  <c r="AD403" i="31"/>
  <c r="AD405" i="31"/>
  <c r="AD409" i="31"/>
  <c r="AD426" i="31"/>
  <c r="P411" i="31"/>
  <c r="M32" i="28"/>
  <c r="AD372" i="31"/>
  <c r="L46" i="26"/>
  <c r="AD428" i="31"/>
  <c r="L56" i="26"/>
  <c r="AD430" i="31"/>
  <c r="AD478" i="31"/>
  <c r="AD467" i="31" s="1"/>
  <c r="L57" i="26"/>
  <c r="AD431" i="31"/>
  <c r="L20" i="26"/>
  <c r="AD429" i="31"/>
  <c r="P396" i="31"/>
  <c r="M31" i="28"/>
  <c r="L43" i="26"/>
  <c r="L36" i="26"/>
  <c r="L38" i="26"/>
  <c r="L53" i="26"/>
  <c r="L34" i="26"/>
  <c r="L27" i="26"/>
  <c r="AE478" i="31"/>
  <c r="AE467" i="31" s="1"/>
  <c r="L60" i="26"/>
  <c r="L48" i="26"/>
  <c r="L30" i="26"/>
  <c r="L32" i="26"/>
  <c r="L31" i="26"/>
  <c r="L25" i="26"/>
  <c r="L14" i="26"/>
  <c r="L15" i="26"/>
  <c r="L12" i="26"/>
  <c r="L22" i="26"/>
  <c r="L51" i="26"/>
  <c r="L11" i="26"/>
  <c r="L18" i="26"/>
  <c r="L19" i="26"/>
  <c r="L17" i="26"/>
  <c r="L52" i="26"/>
  <c r="P303" i="31"/>
  <c r="P459" i="31"/>
  <c r="P458" i="31" s="1"/>
  <c r="AC374" i="31"/>
  <c r="AB374" i="31"/>
  <c r="AE374" i="31"/>
  <c r="AA374" i="31"/>
  <c r="AB373" i="31"/>
  <c r="AC373" i="31"/>
  <c r="AE373" i="31"/>
  <c r="AE372" i="31" s="1"/>
  <c r="AA373" i="31"/>
  <c r="AA372" i="31" s="1"/>
  <c r="AC372" i="31" l="1"/>
  <c r="L24" i="26"/>
  <c r="M30" i="28"/>
  <c r="L9" i="26"/>
  <c r="AB372" i="31"/>
  <c r="O20" i="26"/>
  <c r="AE429" i="31"/>
  <c r="P20" i="26" s="1"/>
  <c r="O57" i="26"/>
  <c r="AE431" i="31"/>
  <c r="P57" i="26" s="1"/>
  <c r="P395" i="31"/>
  <c r="O56" i="26"/>
  <c r="AE430" i="31"/>
  <c r="P56" i="26" s="1"/>
  <c r="AD411" i="31"/>
  <c r="K32" i="28"/>
  <c r="N32" i="28"/>
  <c r="L32" i="28"/>
  <c r="O46" i="26"/>
  <c r="AE428" i="31"/>
  <c r="P46" i="26" s="1"/>
  <c r="K31" i="28"/>
  <c r="L31" i="28"/>
  <c r="N31" i="28"/>
  <c r="AE465" i="31"/>
  <c r="AE452" i="31"/>
  <c r="P25" i="26" s="1"/>
  <c r="O25" i="26"/>
  <c r="AE448" i="31"/>
  <c r="P31" i="26" s="1"/>
  <c r="O31" i="26"/>
  <c r="AE444" i="31"/>
  <c r="P32" i="26" s="1"/>
  <c r="O32" i="26"/>
  <c r="AE442" i="31"/>
  <c r="P30" i="26" s="1"/>
  <c r="O30" i="26"/>
  <c r="AE440" i="31"/>
  <c r="P48" i="26" s="1"/>
  <c r="O48" i="26"/>
  <c r="AE436" i="31"/>
  <c r="P60" i="26" s="1"/>
  <c r="O60" i="26"/>
  <c r="AE464" i="31"/>
  <c r="AD459" i="31"/>
  <c r="AD458" i="31" s="1"/>
  <c r="AE451" i="31"/>
  <c r="P27" i="26" s="1"/>
  <c r="O27" i="26"/>
  <c r="AE447" i="31"/>
  <c r="P34" i="26" s="1"/>
  <c r="O34" i="26"/>
  <c r="AE443" i="31"/>
  <c r="P53" i="26" s="1"/>
  <c r="O53" i="26"/>
  <c r="AE441" i="31"/>
  <c r="P38" i="26" s="1"/>
  <c r="O38" i="26"/>
  <c r="AE437" i="31"/>
  <c r="P36" i="26" s="1"/>
  <c r="O36" i="26"/>
  <c r="AE435" i="31"/>
  <c r="P43" i="26" s="1"/>
  <c r="O43" i="26"/>
  <c r="AE427" i="31"/>
  <c r="P52" i="26" s="1"/>
  <c r="O52" i="26"/>
  <c r="AE410" i="31"/>
  <c r="O17" i="26"/>
  <c r="AE408" i="31"/>
  <c r="O19" i="26"/>
  <c r="AE406" i="31"/>
  <c r="O18" i="26"/>
  <c r="AE404" i="31"/>
  <c r="O11" i="26"/>
  <c r="AE426" i="31"/>
  <c r="AE411" i="31" s="1"/>
  <c r="O51" i="26"/>
  <c r="AE409" i="31"/>
  <c r="O22" i="26"/>
  <c r="AE407" i="31"/>
  <c r="O12" i="26"/>
  <c r="AE405" i="31"/>
  <c r="O15" i="26"/>
  <c r="AE403" i="31"/>
  <c r="P14" i="26" s="1"/>
  <c r="O14" i="26"/>
  <c r="AD396" i="31"/>
  <c r="AD395" i="31" s="1"/>
  <c r="AD379" i="31"/>
  <c r="M20" i="28" s="1"/>
  <c r="AD380" i="31"/>
  <c r="M21" i="28" s="1"/>
  <c r="AD381" i="31"/>
  <c r="M24" i="28" s="1"/>
  <c r="AD382" i="31"/>
  <c r="AD383" i="31"/>
  <c r="AD384" i="31"/>
  <c r="M28" i="28" s="1"/>
  <c r="AD385" i="31"/>
  <c r="M26" i="28" s="1"/>
  <c r="AD386" i="31"/>
  <c r="M23" i="28" s="1"/>
  <c r="AD387" i="31"/>
  <c r="M27" i="28" s="1"/>
  <c r="AD388" i="31"/>
  <c r="AD389" i="31"/>
  <c r="AD390" i="31"/>
  <c r="M10" i="28" s="1"/>
  <c r="AD391" i="31"/>
  <c r="AD393" i="31"/>
  <c r="M25" i="28" s="1"/>
  <c r="AD394" i="31"/>
  <c r="AD378" i="31"/>
  <c r="AD322" i="31"/>
  <c r="AD323" i="31"/>
  <c r="AD324" i="31"/>
  <c r="AD325" i="31"/>
  <c r="AD326" i="31"/>
  <c r="AD327" i="31"/>
  <c r="AD328" i="31"/>
  <c r="AD329" i="31"/>
  <c r="AD330" i="31"/>
  <c r="AD331" i="31"/>
  <c r="AD332" i="31"/>
  <c r="AD333" i="31"/>
  <c r="AD334" i="31"/>
  <c r="AD335" i="31"/>
  <c r="AD336" i="31"/>
  <c r="AD337" i="31"/>
  <c r="AD338" i="31"/>
  <c r="AD339" i="31"/>
  <c r="AD340" i="31"/>
  <c r="AD341" i="31"/>
  <c r="AD342" i="31"/>
  <c r="AD343" i="31"/>
  <c r="AD344" i="31"/>
  <c r="AD345" i="31"/>
  <c r="AD346" i="31"/>
  <c r="AD347" i="31"/>
  <c r="AD348" i="31"/>
  <c r="AD349" i="31"/>
  <c r="AD350" i="31"/>
  <c r="M14" i="28" s="1"/>
  <c r="AD351" i="31"/>
  <c r="M17" i="28" s="1"/>
  <c r="AD352" i="31"/>
  <c r="AD353" i="31"/>
  <c r="M12" i="28" s="1"/>
  <c r="AD354" i="31"/>
  <c r="AD355" i="31"/>
  <c r="M11" i="28" s="1"/>
  <c r="AD356" i="31"/>
  <c r="M18" i="28" s="1"/>
  <c r="AD357" i="31"/>
  <c r="AD358" i="31"/>
  <c r="AD359" i="31"/>
  <c r="AD360" i="31"/>
  <c r="AD361" i="31"/>
  <c r="AD362" i="31"/>
  <c r="AD363" i="31"/>
  <c r="AD364" i="31"/>
  <c r="M13" i="28" s="1"/>
  <c r="AD365" i="31"/>
  <c r="M15" i="28" s="1"/>
  <c r="AD366" i="31"/>
  <c r="M16" i="28" s="1"/>
  <c r="AD367" i="31"/>
  <c r="AD368" i="31"/>
  <c r="AD369" i="31"/>
  <c r="M19" i="28" s="1"/>
  <c r="AD370" i="31"/>
  <c r="M29" i="28" s="1"/>
  <c r="AD371" i="31"/>
  <c r="AD321" i="31"/>
  <c r="AD320" i="31" s="1"/>
  <c r="AD312" i="31"/>
  <c r="AD313" i="31"/>
  <c r="AD314" i="31"/>
  <c r="AD315" i="31"/>
  <c r="AD316" i="31"/>
  <c r="AD317" i="31"/>
  <c r="AD311" i="31"/>
  <c r="AD309" i="31"/>
  <c r="K10" i="15" s="1"/>
  <c r="K9" i="15" s="1"/>
  <c r="AD308" i="31"/>
  <c r="AD302" i="31"/>
  <c r="K20" i="33" s="1"/>
  <c r="AD292" i="31"/>
  <c r="K12" i="33" s="1"/>
  <c r="AD293" i="31"/>
  <c r="K17" i="33" s="1"/>
  <c r="AD294" i="31"/>
  <c r="K19" i="33" s="1"/>
  <c r="AD295" i="31"/>
  <c r="K18" i="33" s="1"/>
  <c r="AD296" i="31"/>
  <c r="K14" i="33" s="1"/>
  <c r="AD297" i="31"/>
  <c r="K10" i="33" s="1"/>
  <c r="AD298" i="31"/>
  <c r="K11" i="33" s="1"/>
  <c r="AD299" i="31"/>
  <c r="K13" i="33" s="1"/>
  <c r="AD300" i="31"/>
  <c r="K16" i="33" s="1"/>
  <c r="AD291" i="31"/>
  <c r="K15" i="33" s="1"/>
  <c r="AD284" i="31"/>
  <c r="AD283" i="31"/>
  <c r="AD259" i="31"/>
  <c r="AD260" i="31"/>
  <c r="AD261" i="31"/>
  <c r="AD262" i="31"/>
  <c r="AD263" i="31"/>
  <c r="AD264" i="31"/>
  <c r="AD265" i="31"/>
  <c r="AD266" i="31"/>
  <c r="AD267" i="31"/>
  <c r="K10" i="12" s="1"/>
  <c r="AD268" i="31"/>
  <c r="AD269" i="31"/>
  <c r="AD270" i="31"/>
  <c r="AD271" i="31"/>
  <c r="AD272" i="31"/>
  <c r="AD273" i="31"/>
  <c r="AD274" i="31"/>
  <c r="AD275" i="31"/>
  <c r="AD276" i="31"/>
  <c r="AD277" i="31"/>
  <c r="AD278" i="31"/>
  <c r="K11" i="12" s="1"/>
  <c r="AD279" i="31"/>
  <c r="AD258" i="31"/>
  <c r="AD257" i="31" s="1"/>
  <c r="AD254" i="31"/>
  <c r="AD255" i="31"/>
  <c r="K11" i="9" s="1"/>
  <c r="AD256" i="31"/>
  <c r="K12" i="9" s="1"/>
  <c r="AD253" i="31"/>
  <c r="AD249" i="31"/>
  <c r="K10" i="8" s="1"/>
  <c r="AD250" i="31"/>
  <c r="AD227" i="31"/>
  <c r="L12" i="21" s="1"/>
  <c r="AD228" i="31"/>
  <c r="L15" i="21" s="1"/>
  <c r="AD229" i="31"/>
  <c r="L13" i="21" s="1"/>
  <c r="AD230" i="31"/>
  <c r="AD231" i="31"/>
  <c r="L14" i="21" s="1"/>
  <c r="AD226" i="31"/>
  <c r="AD224" i="31"/>
  <c r="AD223" i="31"/>
  <c r="AD221" i="31"/>
  <c r="AD220" i="31"/>
  <c r="AD219" i="31" s="1"/>
  <c r="AD115" i="31"/>
  <c r="L70" i="20" s="1"/>
  <c r="AD116" i="31"/>
  <c r="L68" i="20" s="1"/>
  <c r="AD117" i="31"/>
  <c r="AD118" i="31"/>
  <c r="L84" i="20" s="1"/>
  <c r="AD119" i="31"/>
  <c r="L67" i="20" s="1"/>
  <c r="AD120" i="31"/>
  <c r="AD121" i="31"/>
  <c r="L82" i="20" s="1"/>
  <c r="AD122" i="31"/>
  <c r="L80" i="20" s="1"/>
  <c r="AD123" i="31"/>
  <c r="L83" i="20" s="1"/>
  <c r="AD124" i="31"/>
  <c r="L57" i="20" s="1"/>
  <c r="AD125" i="31"/>
  <c r="L58" i="20" s="1"/>
  <c r="AD126" i="31"/>
  <c r="L61" i="20" s="1"/>
  <c r="AD127" i="31"/>
  <c r="L56" i="20" s="1"/>
  <c r="AD128" i="31"/>
  <c r="L77" i="20" s="1"/>
  <c r="AD129" i="31"/>
  <c r="L78" i="20" s="1"/>
  <c r="AD130" i="31"/>
  <c r="L53" i="20" s="1"/>
  <c r="AD131" i="31"/>
  <c r="L59" i="20" s="1"/>
  <c r="AD132" i="31"/>
  <c r="L69" i="20" s="1"/>
  <c r="AD133" i="31"/>
  <c r="L60" i="20" s="1"/>
  <c r="AD134" i="31"/>
  <c r="L73" i="20" s="1"/>
  <c r="AD135" i="31"/>
  <c r="L76" i="20" s="1"/>
  <c r="AD136" i="31"/>
  <c r="L64" i="20" s="1"/>
  <c r="AD137" i="31"/>
  <c r="L79" i="20" s="1"/>
  <c r="AD138" i="31"/>
  <c r="L54" i="20" s="1"/>
  <c r="AD139" i="31"/>
  <c r="L63" i="20" s="1"/>
  <c r="AD140" i="31"/>
  <c r="L65" i="20" s="1"/>
  <c r="AD141" i="31"/>
  <c r="L81" i="20" s="1"/>
  <c r="AD142" i="31"/>
  <c r="L55" i="20" s="1"/>
  <c r="AD143" i="31"/>
  <c r="L85" i="20" s="1"/>
  <c r="AD144" i="31"/>
  <c r="L72" i="20" s="1"/>
  <c r="AD145" i="31"/>
  <c r="L75" i="20" s="1"/>
  <c r="AD146" i="31"/>
  <c r="L62" i="20" s="1"/>
  <c r="AD147" i="31"/>
  <c r="L66" i="20" s="1"/>
  <c r="AD148" i="31"/>
  <c r="L74" i="20" s="1"/>
  <c r="AD114" i="31"/>
  <c r="L71" i="20" s="1"/>
  <c r="AD67" i="31"/>
  <c r="L43" i="20" s="1"/>
  <c r="AD68" i="31"/>
  <c r="L10" i="20" s="1"/>
  <c r="AD69" i="31"/>
  <c r="AD70" i="31"/>
  <c r="L24" i="20" s="1"/>
  <c r="AD71" i="31"/>
  <c r="L13" i="20" s="1"/>
  <c r="AD72" i="31"/>
  <c r="AD73" i="31"/>
  <c r="L48" i="20" s="1"/>
  <c r="AD74" i="31"/>
  <c r="L16" i="20" s="1"/>
  <c r="AD75" i="31"/>
  <c r="L15" i="20" s="1"/>
  <c r="AD76" i="31"/>
  <c r="L14" i="20" s="1"/>
  <c r="AD77" i="31"/>
  <c r="L30" i="20" s="1"/>
  <c r="AD78" i="31"/>
  <c r="L26" i="20" s="1"/>
  <c r="AD79" i="31"/>
  <c r="L22" i="20" s="1"/>
  <c r="AD80" i="31"/>
  <c r="L18" i="20" s="1"/>
  <c r="AD81" i="31"/>
  <c r="L27" i="20" s="1"/>
  <c r="AD82" i="31"/>
  <c r="L23" i="20" s="1"/>
  <c r="AD83" i="31"/>
  <c r="L35" i="20" s="1"/>
  <c r="AD84" i="31"/>
  <c r="L38" i="20" s="1"/>
  <c r="AD85" i="31"/>
  <c r="L11" i="20" s="1"/>
  <c r="AD86" i="31"/>
  <c r="L44" i="20" s="1"/>
  <c r="AD87" i="31"/>
  <c r="L49" i="20" s="1"/>
  <c r="AD88" i="31"/>
  <c r="L50" i="20" s="1"/>
  <c r="AD89" i="31"/>
  <c r="L46" i="20" s="1"/>
  <c r="AD90" i="31"/>
  <c r="AD91" i="31"/>
  <c r="L42" i="20" s="1"/>
  <c r="AD92" i="31"/>
  <c r="L29" i="20" s="1"/>
  <c r="AD93" i="31"/>
  <c r="L20" i="20" s="1"/>
  <c r="AD94" i="31"/>
  <c r="L40" i="20" s="1"/>
  <c r="AD95" i="31"/>
  <c r="L19" i="20" s="1"/>
  <c r="AD96" i="31"/>
  <c r="L12" i="20" s="1"/>
  <c r="AD97" i="31"/>
  <c r="L31" i="20" s="1"/>
  <c r="AD98" i="31"/>
  <c r="L41" i="20" s="1"/>
  <c r="AD99" i="31"/>
  <c r="L45" i="20" s="1"/>
  <c r="AD100" i="31"/>
  <c r="L34" i="20" s="1"/>
  <c r="AD101" i="31"/>
  <c r="L25" i="20" s="1"/>
  <c r="AD102" i="31"/>
  <c r="L51" i="20" s="1"/>
  <c r="AD103" i="31"/>
  <c r="L39" i="20" s="1"/>
  <c r="AD104" i="31"/>
  <c r="L28" i="20" s="1"/>
  <c r="AD105" i="31"/>
  <c r="L32" i="20" s="1"/>
  <c r="AD106" i="31"/>
  <c r="L21" i="20" s="1"/>
  <c r="AD107" i="31"/>
  <c r="L47" i="20" s="1"/>
  <c r="AD108" i="31"/>
  <c r="L37" i="20" s="1"/>
  <c r="AD109" i="31"/>
  <c r="L17" i="20" s="1"/>
  <c r="AD110" i="31"/>
  <c r="L33" i="20" s="1"/>
  <c r="AD111" i="31"/>
  <c r="L36" i="20" s="1"/>
  <c r="AD112" i="31"/>
  <c r="L52" i="20" s="1"/>
  <c r="AD66" i="31"/>
  <c r="AD30" i="31"/>
  <c r="AD31" i="31"/>
  <c r="AD32" i="31"/>
  <c r="AD33" i="31"/>
  <c r="AD34" i="31"/>
  <c r="AD35" i="31"/>
  <c r="AD36" i="31"/>
  <c r="AD37" i="31"/>
  <c r="AD38" i="31"/>
  <c r="AD39" i="31"/>
  <c r="AD40" i="31"/>
  <c r="AD41" i="31"/>
  <c r="AD42" i="31"/>
  <c r="AD43" i="31"/>
  <c r="AD44" i="31"/>
  <c r="AD45" i="31"/>
  <c r="AD46" i="31"/>
  <c r="AD47" i="31"/>
  <c r="AD48" i="31"/>
  <c r="AD49" i="31"/>
  <c r="AD50" i="31"/>
  <c r="AD51" i="31"/>
  <c r="AD52" i="31"/>
  <c r="AD53" i="31"/>
  <c r="AD54" i="31"/>
  <c r="AD55" i="31"/>
  <c r="AD56" i="31"/>
  <c r="AD57" i="31"/>
  <c r="AD58" i="31"/>
  <c r="AD59" i="31"/>
  <c r="AD60" i="31"/>
  <c r="AD61" i="31"/>
  <c r="AD62" i="31"/>
  <c r="AD63" i="31"/>
  <c r="AD64" i="31"/>
  <c r="AD29" i="31"/>
  <c r="AD19" i="31"/>
  <c r="K10" i="1" s="1"/>
  <c r="AD20" i="31"/>
  <c r="K12" i="1" s="1"/>
  <c r="AD21" i="31"/>
  <c r="K14" i="1" s="1"/>
  <c r="AD22" i="31"/>
  <c r="K13" i="1" s="1"/>
  <c r="AD15" i="31"/>
  <c r="AD16" i="31"/>
  <c r="AD17" i="31"/>
  <c r="K11" i="1" s="1"/>
  <c r="AD18" i="31"/>
  <c r="V220" i="31"/>
  <c r="V221" i="31"/>
  <c r="Z221" i="31" s="1"/>
  <c r="K18" i="1"/>
  <c r="L18" i="1"/>
  <c r="K16" i="1"/>
  <c r="L16" i="1"/>
  <c r="K17" i="1"/>
  <c r="L17" i="1"/>
  <c r="Z377" i="31"/>
  <c r="Z383" i="31"/>
  <c r="AA383" i="31" s="1"/>
  <c r="Z388" i="31"/>
  <c r="AB388" i="31" s="1"/>
  <c r="Z341" i="31"/>
  <c r="AB341" i="31" s="1"/>
  <c r="Z318" i="31"/>
  <c r="AC318" i="31" s="1"/>
  <c r="Z319" i="31"/>
  <c r="AB319" i="31" s="1"/>
  <c r="Z265" i="31"/>
  <c r="Z151" i="31"/>
  <c r="Z175" i="31"/>
  <c r="Z167" i="31"/>
  <c r="Z152" i="31"/>
  <c r="Z153" i="31"/>
  <c r="Z154" i="31"/>
  <c r="Z155" i="31"/>
  <c r="Z173" i="31"/>
  <c r="Z156" i="31"/>
  <c r="Z157" i="31"/>
  <c r="Z158" i="31"/>
  <c r="Z159" i="31"/>
  <c r="Z160" i="31"/>
  <c r="Z161" i="31"/>
  <c r="Z162" i="31"/>
  <c r="Z163" i="31"/>
  <c r="Z164" i="31"/>
  <c r="Z165" i="31"/>
  <c r="Z166" i="31"/>
  <c r="Z172" i="31"/>
  <c r="Z170" i="31"/>
  <c r="Z179" i="31"/>
  <c r="Z176" i="31"/>
  <c r="Z174" i="31"/>
  <c r="Z177" i="31"/>
  <c r="Z178" i="31"/>
  <c r="Z184" i="31"/>
  <c r="Z185" i="31"/>
  <c r="Z186" i="31"/>
  <c r="Z187" i="31"/>
  <c r="Z188" i="31"/>
  <c r="Z189" i="31"/>
  <c r="Z190" i="31"/>
  <c r="Z191" i="31"/>
  <c r="Z192" i="31"/>
  <c r="Z193" i="31"/>
  <c r="Z194" i="31"/>
  <c r="Z195" i="31"/>
  <c r="Z196" i="31"/>
  <c r="Z197" i="31"/>
  <c r="Z198" i="31"/>
  <c r="Z199" i="31"/>
  <c r="Z200" i="31"/>
  <c r="Z201" i="31"/>
  <c r="Z202" i="31"/>
  <c r="Z203" i="31"/>
  <c r="Z204" i="31"/>
  <c r="Z182" i="31"/>
  <c r="Z205" i="31"/>
  <c r="Z206" i="31"/>
  <c r="Z207" i="31"/>
  <c r="Z208" i="31"/>
  <c r="Z209" i="31"/>
  <c r="Z210" i="31"/>
  <c r="Z211" i="31"/>
  <c r="Z212" i="31"/>
  <c r="Z213" i="31"/>
  <c r="Z218" i="31"/>
  <c r="Z240" i="31"/>
  <c r="Z234" i="31"/>
  <c r="Z242" i="31"/>
  <c r="Z235" i="31"/>
  <c r="Z236" i="31"/>
  <c r="Z237" i="31"/>
  <c r="Z244" i="31"/>
  <c r="Z238" i="31"/>
  <c r="Z239" i="31"/>
  <c r="Z243" i="31"/>
  <c r="Z245" i="31"/>
  <c r="Z246" i="31"/>
  <c r="Z23" i="31"/>
  <c r="Z24" i="31"/>
  <c r="Z25" i="31"/>
  <c r="Z26" i="31"/>
  <c r="L25" i="21"/>
  <c r="L27" i="21"/>
  <c r="P244" i="31"/>
  <c r="AD244" i="31" s="1"/>
  <c r="L24" i="21"/>
  <c r="AD240" i="31"/>
  <c r="K239" i="36"/>
  <c r="K238" i="36"/>
  <c r="K240" i="36"/>
  <c r="K241" i="36"/>
  <c r="K254" i="36"/>
  <c r="K222" i="36"/>
  <c r="K223" i="36"/>
  <c r="K220" i="36"/>
  <c r="K219" i="36"/>
  <c r="K221" i="36"/>
  <c r="N315" i="36"/>
  <c r="K315" i="36"/>
  <c r="K194" i="36"/>
  <c r="Y317" i="31"/>
  <c r="Y310" i="31" s="1"/>
  <c r="Y307" i="31" s="1"/>
  <c r="T319" i="31"/>
  <c r="T318" i="31"/>
  <c r="U271" i="31"/>
  <c r="S271" i="31"/>
  <c r="Q271" i="31"/>
  <c r="U262" i="31"/>
  <c r="S262" i="31"/>
  <c r="Q262" i="31"/>
  <c r="U275" i="31"/>
  <c r="S275" i="31"/>
  <c r="Q275" i="31"/>
  <c r="U273" i="31"/>
  <c r="S273" i="31"/>
  <c r="Q273" i="31"/>
  <c r="U268" i="31"/>
  <c r="S268" i="31"/>
  <c r="Q268" i="31"/>
  <c r="U267" i="31"/>
  <c r="S267" i="31"/>
  <c r="Q267" i="31"/>
  <c r="U266" i="31"/>
  <c r="S266" i="31"/>
  <c r="Q266" i="31"/>
  <c r="U258" i="31"/>
  <c r="U279" i="31"/>
  <c r="U278" i="31"/>
  <c r="S258" i="31"/>
  <c r="Q258" i="31"/>
  <c r="U265" i="31"/>
  <c r="S265" i="31"/>
  <c r="Q265" i="31"/>
  <c r="S279" i="31"/>
  <c r="Q279" i="31"/>
  <c r="Q278" i="31"/>
  <c r="K178" i="36"/>
  <c r="L8" i="26" l="1"/>
  <c r="Q60" i="26"/>
  <c r="Q48" i="26"/>
  <c r="Q30" i="26"/>
  <c r="Q32" i="26"/>
  <c r="Q31" i="26"/>
  <c r="Q57" i="26"/>
  <c r="M17" i="1"/>
  <c r="L15" i="1"/>
  <c r="M18" i="1"/>
  <c r="K15" i="1"/>
  <c r="K9" i="1"/>
  <c r="Q52" i="26"/>
  <c r="Q43" i="26"/>
  <c r="Q36" i="26"/>
  <c r="Q38" i="26"/>
  <c r="Q53" i="26"/>
  <c r="Q34" i="26"/>
  <c r="Q27" i="26"/>
  <c r="Q46" i="26"/>
  <c r="Q56" i="26"/>
  <c r="O32" i="28"/>
  <c r="Q20" i="26"/>
  <c r="O24" i="26"/>
  <c r="K30" i="28"/>
  <c r="L30" i="28"/>
  <c r="O9" i="26"/>
  <c r="T310" i="31"/>
  <c r="AD232" i="31"/>
  <c r="I19" i="21"/>
  <c r="I16" i="21" s="1"/>
  <c r="P232" i="31"/>
  <c r="Z232" i="31"/>
  <c r="J18" i="29"/>
  <c r="Z220" i="31"/>
  <c r="V219" i="31"/>
  <c r="K10" i="29"/>
  <c r="K16" i="29"/>
  <c r="K13" i="29"/>
  <c r="K11" i="29"/>
  <c r="AD376" i="31"/>
  <c r="P15" i="26"/>
  <c r="P22" i="26"/>
  <c r="P11" i="26"/>
  <c r="P19" i="26"/>
  <c r="P17" i="26"/>
  <c r="L10" i="21"/>
  <c r="AD222" i="31"/>
  <c r="L11" i="21"/>
  <c r="AD225" i="31"/>
  <c r="K10" i="9"/>
  <c r="K9" i="9" s="1"/>
  <c r="AD251" i="31"/>
  <c r="K15" i="29"/>
  <c r="K12" i="29"/>
  <c r="N30" i="28"/>
  <c r="P18" i="26"/>
  <c r="P12" i="26"/>
  <c r="K9" i="33"/>
  <c r="K8" i="33" s="1"/>
  <c r="Q25" i="26"/>
  <c r="M16" i="1"/>
  <c r="O31" i="28"/>
  <c r="L9" i="20"/>
  <c r="K9" i="12"/>
  <c r="K8" i="12" s="1"/>
  <c r="I26" i="21"/>
  <c r="I23" i="21" s="1"/>
  <c r="L18" i="21"/>
  <c r="L16" i="21" s="1"/>
  <c r="AD282" i="31"/>
  <c r="AD307" i="31"/>
  <c r="AD319" i="31"/>
  <c r="U319" i="31"/>
  <c r="Z180" i="31"/>
  <c r="Z149" i="31"/>
  <c r="AD318" i="31"/>
  <c r="U318" i="31"/>
  <c r="U310" i="31" s="1"/>
  <c r="M22" i="28"/>
  <c r="M9" i="28" s="1"/>
  <c r="M8" i="28" s="1"/>
  <c r="AE459" i="31"/>
  <c r="AE458" i="31" s="1"/>
  <c r="Q14" i="26"/>
  <c r="AE396" i="31"/>
  <c r="AE395" i="31" s="1"/>
  <c r="P51" i="26"/>
  <c r="AC265" i="31"/>
  <c r="AE265" i="31"/>
  <c r="AB383" i="31"/>
  <c r="AA318" i="31"/>
  <c r="AA265" i="31"/>
  <c r="AE318" i="31"/>
  <c r="AB265" i="31"/>
  <c r="AE319" i="31"/>
  <c r="AA319" i="31"/>
  <c r="AB318" i="31"/>
  <c r="AE341" i="31"/>
  <c r="AA341" i="31"/>
  <c r="AE388" i="31"/>
  <c r="AA388" i="31"/>
  <c r="AC383" i="31"/>
  <c r="AC319" i="31"/>
  <c r="AC341" i="31"/>
  <c r="AC388" i="31"/>
  <c r="AE383" i="31"/>
  <c r="AD23" i="31"/>
  <c r="AE23" i="31"/>
  <c r="AB220" i="31"/>
  <c r="AE220" i="31"/>
  <c r="AA220" i="31"/>
  <c r="AA221" i="31"/>
  <c r="AE221" i="31"/>
  <c r="AB221" i="31"/>
  <c r="AC221" i="31"/>
  <c r="K14" i="29" l="1"/>
  <c r="L9" i="21"/>
  <c r="M15" i="1"/>
  <c r="O8" i="26"/>
  <c r="O30" i="28"/>
  <c r="I8" i="21"/>
  <c r="K9" i="29"/>
  <c r="P24" i="26"/>
  <c r="Q18" i="26"/>
  <c r="Q17" i="26"/>
  <c r="Q15" i="26"/>
  <c r="Q12" i="26"/>
  <c r="Q19" i="26"/>
  <c r="Q22" i="26"/>
  <c r="AA219" i="31"/>
  <c r="AB219" i="31"/>
  <c r="K8" i="9"/>
  <c r="Q11" i="26"/>
  <c r="P9" i="26"/>
  <c r="P8" i="26" s="1"/>
  <c r="J19" i="29"/>
  <c r="L19" i="29"/>
  <c r="L18" i="29"/>
  <c r="I18" i="29"/>
  <c r="AE219" i="31"/>
  <c r="I19" i="29"/>
  <c r="K18" i="29"/>
  <c r="K19" i="29"/>
  <c r="AD310" i="31"/>
  <c r="AC220" i="31"/>
  <c r="AC219" i="31" s="1"/>
  <c r="Z219" i="31"/>
  <c r="K8" i="1"/>
  <c r="Q51" i="26"/>
  <c r="AE244" i="31"/>
  <c r="AE232" i="31" s="1"/>
  <c r="L26" i="21"/>
  <c r="L23" i="21" s="1"/>
  <c r="L8" i="21" s="1"/>
  <c r="K182" i="36"/>
  <c r="N182" i="36"/>
  <c r="K181" i="36"/>
  <c r="N181" i="36"/>
  <c r="K180" i="36"/>
  <c r="K179" i="36"/>
  <c r="V258" i="31" s="1"/>
  <c r="V226" i="31"/>
  <c r="V227" i="31"/>
  <c r="Z227" i="31" s="1"/>
  <c r="V228" i="31"/>
  <c r="Z228" i="31" s="1"/>
  <c r="V229" i="31"/>
  <c r="Z229" i="31" s="1"/>
  <c r="V230" i="31"/>
  <c r="Z230" i="31" s="1"/>
  <c r="V231" i="31"/>
  <c r="Z231" i="31" s="1"/>
  <c r="V248" i="31"/>
  <c r="V249" i="31"/>
  <c r="Z249" i="31" s="1"/>
  <c r="V250" i="31"/>
  <c r="Z250" i="31" s="1"/>
  <c r="V252" i="31"/>
  <c r="Z252" i="31" s="1"/>
  <c r="V253" i="31"/>
  <c r="V254" i="31"/>
  <c r="Z254" i="31" s="1"/>
  <c r="V255" i="31"/>
  <c r="Z255" i="31" s="1"/>
  <c r="V256" i="31"/>
  <c r="Z256" i="31" s="1"/>
  <c r="V259" i="31"/>
  <c r="Z259" i="31" s="1"/>
  <c r="V260" i="31"/>
  <c r="Z260" i="31" s="1"/>
  <c r="V261" i="31"/>
  <c r="Z261" i="31" s="1"/>
  <c r="V262" i="31"/>
  <c r="Z262" i="31" s="1"/>
  <c r="V263" i="31"/>
  <c r="Z263" i="31" s="1"/>
  <c r="V264" i="31"/>
  <c r="Z264" i="31" s="1"/>
  <c r="V266" i="31"/>
  <c r="Z266" i="31" s="1"/>
  <c r="V267" i="31"/>
  <c r="Z267" i="31" s="1"/>
  <c r="V268" i="31"/>
  <c r="Z268" i="31" s="1"/>
  <c r="V269" i="31"/>
  <c r="Z269" i="31" s="1"/>
  <c r="V270" i="31"/>
  <c r="Z270" i="31" s="1"/>
  <c r="V272" i="31"/>
  <c r="Z272" i="31" s="1"/>
  <c r="V273" i="31"/>
  <c r="Z273" i="31" s="1"/>
  <c r="V274" i="31"/>
  <c r="Z274" i="31" s="1"/>
  <c r="V275" i="31"/>
  <c r="Z275" i="31" s="1"/>
  <c r="V276" i="31"/>
  <c r="Z276" i="31" s="1"/>
  <c r="V277" i="31"/>
  <c r="Z277" i="31" s="1"/>
  <c r="V278" i="31"/>
  <c r="Z278" i="31" s="1"/>
  <c r="V279" i="31"/>
  <c r="Z279" i="31" s="1"/>
  <c r="V283" i="31"/>
  <c r="V284" i="31"/>
  <c r="Z284" i="31" s="1"/>
  <c r="V291" i="31"/>
  <c r="V292" i="31"/>
  <c r="Z292" i="31" s="1"/>
  <c r="V293" i="31"/>
  <c r="Z293" i="31" s="1"/>
  <c r="V294" i="31"/>
  <c r="Z294" i="31" s="1"/>
  <c r="V295" i="31"/>
  <c r="Z295" i="31" s="1"/>
  <c r="V296" i="31"/>
  <c r="Z296" i="31" s="1"/>
  <c r="V297" i="31"/>
  <c r="Z297" i="31" s="1"/>
  <c r="V298" i="31"/>
  <c r="Z298" i="31" s="1"/>
  <c r="V299" i="31"/>
  <c r="Z299" i="31" s="1"/>
  <c r="V300" i="31"/>
  <c r="Z300" i="31" s="1"/>
  <c r="V302" i="31"/>
  <c r="V308" i="31"/>
  <c r="V309" i="31"/>
  <c r="Z309" i="31" s="1"/>
  <c r="V311" i="31"/>
  <c r="V312" i="31"/>
  <c r="Z312" i="31" s="1"/>
  <c r="V313" i="31"/>
  <c r="Z313" i="31" s="1"/>
  <c r="V314" i="31"/>
  <c r="Z314" i="31" s="1"/>
  <c r="V315" i="31"/>
  <c r="Z315" i="31" s="1"/>
  <c r="V316" i="31"/>
  <c r="Z316" i="31" s="1"/>
  <c r="V317" i="31"/>
  <c r="Z317" i="31" s="1"/>
  <c r="V321" i="31"/>
  <c r="V322" i="31"/>
  <c r="Z322" i="31" s="1"/>
  <c r="V323" i="31"/>
  <c r="Z323" i="31" s="1"/>
  <c r="V324" i="31"/>
  <c r="Z324" i="31" s="1"/>
  <c r="V325" i="31"/>
  <c r="Z325" i="31" s="1"/>
  <c r="V326" i="31"/>
  <c r="Z326" i="31" s="1"/>
  <c r="V327" i="31"/>
  <c r="Z327" i="31" s="1"/>
  <c r="V328" i="31"/>
  <c r="Z328" i="31" s="1"/>
  <c r="V329" i="31"/>
  <c r="Z329" i="31" s="1"/>
  <c r="V330" i="31"/>
  <c r="Z330" i="31" s="1"/>
  <c r="V331" i="31"/>
  <c r="Z331" i="31" s="1"/>
  <c r="V332" i="31"/>
  <c r="Z332" i="31" s="1"/>
  <c r="V333" i="31"/>
  <c r="Z333" i="31" s="1"/>
  <c r="V334" i="31"/>
  <c r="Z334" i="31" s="1"/>
  <c r="V335" i="31"/>
  <c r="Z335" i="31" s="1"/>
  <c r="V336" i="31"/>
  <c r="Z336" i="31" s="1"/>
  <c r="V337" i="31"/>
  <c r="Z337" i="31" s="1"/>
  <c r="V338" i="31"/>
  <c r="Z338" i="31" s="1"/>
  <c r="V339" i="31"/>
  <c r="Z339" i="31" s="1"/>
  <c r="V340" i="31"/>
  <c r="Z340" i="31" s="1"/>
  <c r="V342" i="31"/>
  <c r="Z342" i="31" s="1"/>
  <c r="V343" i="31"/>
  <c r="Z343" i="31" s="1"/>
  <c r="V344" i="31"/>
  <c r="Z344" i="31" s="1"/>
  <c r="V345" i="31"/>
  <c r="Z345" i="31" s="1"/>
  <c r="V346" i="31"/>
  <c r="Z346" i="31" s="1"/>
  <c r="V347" i="31"/>
  <c r="Z347" i="31" s="1"/>
  <c r="V348" i="31"/>
  <c r="Z348" i="31" s="1"/>
  <c r="V349" i="31"/>
  <c r="Z349" i="31" s="1"/>
  <c r="V350" i="31"/>
  <c r="Z350" i="31" s="1"/>
  <c r="V351" i="31"/>
  <c r="Z351" i="31" s="1"/>
  <c r="V352" i="31"/>
  <c r="Z352" i="31" s="1"/>
  <c r="V353" i="31"/>
  <c r="Z353" i="31" s="1"/>
  <c r="V354" i="31"/>
  <c r="Z354" i="31" s="1"/>
  <c r="V356" i="31"/>
  <c r="Z356" i="31" s="1"/>
  <c r="V357" i="31"/>
  <c r="Z357" i="31" s="1"/>
  <c r="V358" i="31"/>
  <c r="Z358" i="31" s="1"/>
  <c r="V359" i="31"/>
  <c r="Z359" i="31" s="1"/>
  <c r="V360" i="31"/>
  <c r="Z360" i="31" s="1"/>
  <c r="V361" i="31"/>
  <c r="Z361" i="31" s="1"/>
  <c r="V362" i="31"/>
  <c r="Z362" i="31" s="1"/>
  <c r="V363" i="31"/>
  <c r="Z363" i="31" s="1"/>
  <c r="V364" i="31"/>
  <c r="Z364" i="31" s="1"/>
  <c r="V365" i="31"/>
  <c r="Z365" i="31" s="1"/>
  <c r="V366" i="31"/>
  <c r="Z366" i="31" s="1"/>
  <c r="V367" i="31"/>
  <c r="Z367" i="31" s="1"/>
  <c r="V368" i="31"/>
  <c r="Z368" i="31" s="1"/>
  <c r="V369" i="31"/>
  <c r="Z369" i="31" s="1"/>
  <c r="V370" i="31"/>
  <c r="Z370" i="31" s="1"/>
  <c r="V378" i="31"/>
  <c r="V379" i="31"/>
  <c r="Z379" i="31" s="1"/>
  <c r="V380" i="31"/>
  <c r="Z380" i="31" s="1"/>
  <c r="V381" i="31"/>
  <c r="Z381" i="31" s="1"/>
  <c r="AE381" i="31" s="1"/>
  <c r="V382" i="31"/>
  <c r="Z382" i="31" s="1"/>
  <c r="AE382" i="31" s="1"/>
  <c r="V384" i="31"/>
  <c r="Z384" i="31" s="1"/>
  <c r="V385" i="31"/>
  <c r="Z385" i="31" s="1"/>
  <c r="V386" i="31"/>
  <c r="Z386" i="31" s="1"/>
  <c r="V387" i="31"/>
  <c r="Z387" i="31" s="1"/>
  <c r="V389" i="31"/>
  <c r="Z389" i="31" s="1"/>
  <c r="V390" i="31"/>
  <c r="Z390" i="31" s="1"/>
  <c r="V391" i="31"/>
  <c r="Z391" i="31" s="1"/>
  <c r="V392" i="31"/>
  <c r="Z392" i="31" s="1"/>
  <c r="AE392" i="31" s="1"/>
  <c r="V393" i="31"/>
  <c r="Z393" i="31" s="1"/>
  <c r="V394" i="31"/>
  <c r="Z394" i="31" s="1"/>
  <c r="V224" i="31"/>
  <c r="Z224" i="31" s="1"/>
  <c r="V223" i="31"/>
  <c r="Y113" i="31"/>
  <c r="Y27" i="31" s="1"/>
  <c r="L17" i="29" l="1"/>
  <c r="K17" i="29"/>
  <c r="K8" i="29" s="1"/>
  <c r="Q9" i="26"/>
  <c r="Q24" i="26"/>
  <c r="I17" i="29"/>
  <c r="J17" i="29"/>
  <c r="N18" i="29"/>
  <c r="N19" i="29"/>
  <c r="Z223" i="31"/>
  <c r="Z222" i="31" s="1"/>
  <c r="V222" i="31"/>
  <c r="V310" i="31"/>
  <c r="Z378" i="31"/>
  <c r="V376" i="31"/>
  <c r="V282" i="31"/>
  <c r="Z258" i="31"/>
  <c r="Z253" i="31"/>
  <c r="Z251" i="31" s="1"/>
  <c r="V251" i="31"/>
  <c r="Z248" i="31"/>
  <c r="Z247" i="31" s="1"/>
  <c r="V247" i="31"/>
  <c r="Z226" i="31"/>
  <c r="Z225" i="31" s="1"/>
  <c r="V225" i="31"/>
  <c r="M26" i="21"/>
  <c r="M23" i="21" s="1"/>
  <c r="Z321" i="31"/>
  <c r="Z291" i="31"/>
  <c r="Z290" i="31" s="1"/>
  <c r="V290" i="31"/>
  <c r="Z283" i="31"/>
  <c r="Z282" i="31" s="1"/>
  <c r="Z311" i="31"/>
  <c r="Z310" i="31" s="1"/>
  <c r="V307" i="31"/>
  <c r="Z308" i="31"/>
  <c r="Z307" i="31" s="1"/>
  <c r="Z302" i="31"/>
  <c r="V301" i="31"/>
  <c r="Z301" i="31" s="1"/>
  <c r="AE223" i="31"/>
  <c r="AB393" i="31"/>
  <c r="AC393" i="31"/>
  <c r="L25" i="28" s="1"/>
  <c r="AA393" i="31"/>
  <c r="K25" i="28" s="1"/>
  <c r="AE393" i="31"/>
  <c r="N25" i="28" s="1"/>
  <c r="O25" i="28" s="1"/>
  <c r="AC385" i="31"/>
  <c r="L26" i="28" s="1"/>
  <c r="AB385" i="31"/>
  <c r="AA385" i="31"/>
  <c r="K26" i="28" s="1"/>
  <c r="AA380" i="31"/>
  <c r="K21" i="28" s="1"/>
  <c r="AE380" i="31"/>
  <c r="N21" i="28" s="1"/>
  <c r="O21" i="28" s="1"/>
  <c r="AC380" i="31"/>
  <c r="L21" i="28" s="1"/>
  <c r="AB380" i="31"/>
  <c r="AA363" i="31"/>
  <c r="AE363" i="31"/>
  <c r="AB363" i="31"/>
  <c r="AC363" i="31"/>
  <c r="AA347" i="31"/>
  <c r="AE347" i="31"/>
  <c r="AB347" i="31"/>
  <c r="AC347" i="31"/>
  <c r="AA343" i="31"/>
  <c r="AE343" i="31"/>
  <c r="AB343" i="31"/>
  <c r="AC343" i="31"/>
  <c r="AB334" i="31"/>
  <c r="AC334" i="31"/>
  <c r="AA334" i="31"/>
  <c r="AE334" i="31"/>
  <c r="AB330" i="31"/>
  <c r="AC330" i="31"/>
  <c r="AA330" i="31"/>
  <c r="AE330" i="31"/>
  <c r="AB326" i="31"/>
  <c r="AC326" i="31"/>
  <c r="AA326" i="31"/>
  <c r="AE326" i="31"/>
  <c r="AB322" i="31"/>
  <c r="AC322" i="31"/>
  <c r="AA322" i="31"/>
  <c r="AE322" i="31"/>
  <c r="AC315" i="31"/>
  <c r="AE315" i="31"/>
  <c r="AA315" i="31"/>
  <c r="AB315" i="31"/>
  <c r="AC311" i="31"/>
  <c r="AE311" i="31"/>
  <c r="AB311" i="31"/>
  <c r="AA311" i="31"/>
  <c r="AC392" i="31"/>
  <c r="AB392" i="31"/>
  <c r="AA392" i="31"/>
  <c r="AA387" i="31"/>
  <c r="K27" i="28" s="1"/>
  <c r="AC387" i="31"/>
  <c r="L27" i="28" s="1"/>
  <c r="AB387" i="31"/>
  <c r="AA379" i="31"/>
  <c r="K20" i="28" s="1"/>
  <c r="AE379" i="31"/>
  <c r="N20" i="28" s="1"/>
  <c r="O20" i="28" s="1"/>
  <c r="AB379" i="31"/>
  <c r="AC379" i="31"/>
  <c r="L20" i="28" s="1"/>
  <c r="AB370" i="31"/>
  <c r="AE370" i="31"/>
  <c r="N29" i="28" s="1"/>
  <c r="O29" i="28" s="1"/>
  <c r="AB366" i="31"/>
  <c r="AC366" i="31"/>
  <c r="L16" i="28" s="1"/>
  <c r="AE366" i="31"/>
  <c r="N16" i="28" s="1"/>
  <c r="O16" i="28" s="1"/>
  <c r="AA366" i="31"/>
  <c r="K16" i="28" s="1"/>
  <c r="AB358" i="31"/>
  <c r="AC358" i="31"/>
  <c r="AE358" i="31"/>
  <c r="AA358" i="31"/>
  <c r="AB354" i="31"/>
  <c r="AC354" i="31"/>
  <c r="AE354" i="31"/>
  <c r="AA354" i="31"/>
  <c r="AB346" i="31"/>
  <c r="AC346" i="31"/>
  <c r="AA346" i="31"/>
  <c r="AE346" i="31"/>
  <c r="AA394" i="31"/>
  <c r="AE394" i="31"/>
  <c r="AC394" i="31"/>
  <c r="AB394" i="31"/>
  <c r="AA391" i="31"/>
  <c r="AC391" i="31"/>
  <c r="AB391" i="31"/>
  <c r="AA386" i="31"/>
  <c r="K23" i="28" s="1"/>
  <c r="AE386" i="31"/>
  <c r="N23" i="28" s="1"/>
  <c r="O23" i="28" s="1"/>
  <c r="AB386" i="31"/>
  <c r="AC386" i="31"/>
  <c r="L23" i="28" s="1"/>
  <c r="AB382" i="31"/>
  <c r="AC382" i="31"/>
  <c r="AA382" i="31"/>
  <c r="AC378" i="31"/>
  <c r="AB378" i="31"/>
  <c r="AA378" i="31"/>
  <c r="AC369" i="31"/>
  <c r="L19" i="28" s="1"/>
  <c r="AE369" i="31"/>
  <c r="N19" i="28" s="1"/>
  <c r="O19" i="28" s="1"/>
  <c r="AA369" i="31"/>
  <c r="K19" i="28" s="1"/>
  <c r="AB369" i="31"/>
  <c r="AC365" i="31"/>
  <c r="L15" i="28" s="1"/>
  <c r="AE365" i="31"/>
  <c r="N15" i="28" s="1"/>
  <c r="O15" i="28" s="1"/>
  <c r="AA365" i="31"/>
  <c r="K15" i="28" s="1"/>
  <c r="AB365" i="31"/>
  <c r="AC361" i="31"/>
  <c r="AE361" i="31"/>
  <c r="AA361" i="31"/>
  <c r="AB361" i="31"/>
  <c r="AC357" i="31"/>
  <c r="AE357" i="31"/>
  <c r="AA357" i="31"/>
  <c r="AB357" i="31"/>
  <c r="AC353" i="31"/>
  <c r="L12" i="28" s="1"/>
  <c r="AE353" i="31"/>
  <c r="N12" i="28" s="1"/>
  <c r="O12" i="28" s="1"/>
  <c r="AA353" i="31"/>
  <c r="K12" i="28" s="1"/>
  <c r="AB353" i="31"/>
  <c r="AC349" i="31"/>
  <c r="AB349" i="31"/>
  <c r="AE349" i="31"/>
  <c r="AA349" i="31"/>
  <c r="AB345" i="31"/>
  <c r="AE345" i="31"/>
  <c r="AA345" i="31"/>
  <c r="AA340" i="31"/>
  <c r="AE340" i="31"/>
  <c r="AC340" i="31"/>
  <c r="AB340" i="31"/>
  <c r="AA336" i="31"/>
  <c r="AE336" i="31"/>
  <c r="AC336" i="31"/>
  <c r="AB336" i="31"/>
  <c r="AA332" i="31"/>
  <c r="AE332" i="31"/>
  <c r="AC332" i="31"/>
  <c r="AB332" i="31"/>
  <c r="AA328" i="31"/>
  <c r="AE328" i="31"/>
  <c r="AC328" i="31"/>
  <c r="AB328" i="31"/>
  <c r="AA324" i="31"/>
  <c r="AE324" i="31"/>
  <c r="AC324" i="31"/>
  <c r="AB324" i="31"/>
  <c r="AA317" i="31"/>
  <c r="AE317" i="31"/>
  <c r="AB317" i="31"/>
  <c r="AC317" i="31"/>
  <c r="AA313" i="31"/>
  <c r="AE313" i="31"/>
  <c r="AB313" i="31"/>
  <c r="AC313" i="31"/>
  <c r="AA309" i="31"/>
  <c r="I10" i="15" s="1"/>
  <c r="I9" i="15" s="1"/>
  <c r="AE309" i="31"/>
  <c r="L10" i="15" s="1"/>
  <c r="AB309" i="31"/>
  <c r="AC309" i="31"/>
  <c r="J10" i="15" s="1"/>
  <c r="J9" i="15" s="1"/>
  <c r="AE297" i="31"/>
  <c r="L10" i="33" s="1"/>
  <c r="AB297" i="31"/>
  <c r="AB293" i="31"/>
  <c r="AE293" i="31"/>
  <c r="L17" i="33" s="1"/>
  <c r="M17" i="33" s="1"/>
  <c r="AA293" i="31"/>
  <c r="I17" i="33" s="1"/>
  <c r="AA279" i="31"/>
  <c r="AE279" i="31"/>
  <c r="AB279" i="31"/>
  <c r="AC279" i="31"/>
  <c r="AA275" i="31"/>
  <c r="AE275" i="31"/>
  <c r="AB275" i="31"/>
  <c r="AC275" i="31"/>
  <c r="AA267" i="31"/>
  <c r="I10" i="12" s="1"/>
  <c r="AE267" i="31"/>
  <c r="L10" i="12" s="1"/>
  <c r="M10" i="12" s="1"/>
  <c r="AB267" i="31"/>
  <c r="AC267" i="31"/>
  <c r="J10" i="12" s="1"/>
  <c r="AA262" i="31"/>
  <c r="AE262" i="31"/>
  <c r="AB262" i="31"/>
  <c r="AC262" i="31"/>
  <c r="AC258" i="31"/>
  <c r="AB258" i="31"/>
  <c r="AE258" i="31"/>
  <c r="AA258" i="31"/>
  <c r="AB253" i="31"/>
  <c r="AE253" i="31"/>
  <c r="AB248" i="31"/>
  <c r="AE248" i="31"/>
  <c r="L11" i="8" s="1"/>
  <c r="N11" i="8" s="1"/>
  <c r="AA248" i="31"/>
  <c r="I11" i="8" s="1"/>
  <c r="AC248" i="31"/>
  <c r="J11" i="8" s="1"/>
  <c r="AB228" i="31"/>
  <c r="AC228" i="31"/>
  <c r="K15" i="21" s="1"/>
  <c r="AA228" i="31"/>
  <c r="J15" i="21" s="1"/>
  <c r="AA368" i="31"/>
  <c r="AE368" i="31"/>
  <c r="AC368" i="31"/>
  <c r="AB368" i="31"/>
  <c r="AA364" i="31"/>
  <c r="K13" i="28" s="1"/>
  <c r="AE364" i="31"/>
  <c r="N13" i="28" s="1"/>
  <c r="O13" i="28" s="1"/>
  <c r="AC364" i="31"/>
  <c r="L13" i="28" s="1"/>
  <c r="AB364" i="31"/>
  <c r="AA360" i="31"/>
  <c r="AE360" i="31"/>
  <c r="AC360" i="31"/>
  <c r="AB360" i="31"/>
  <c r="AB356" i="31"/>
  <c r="AA352" i="31"/>
  <c r="AE352" i="31"/>
  <c r="AC352" i="31"/>
  <c r="AB352" i="31"/>
  <c r="AA348" i="31"/>
  <c r="AE348" i="31"/>
  <c r="AC348" i="31"/>
  <c r="AB348" i="31"/>
  <c r="AE344" i="31"/>
  <c r="AB344" i="31"/>
  <c r="AA339" i="31"/>
  <c r="AE339" i="31"/>
  <c r="AB339" i="31"/>
  <c r="AC339" i="31"/>
  <c r="AA335" i="31"/>
  <c r="AE335" i="31"/>
  <c r="AB335" i="31"/>
  <c r="AC335" i="31"/>
  <c r="AA331" i="31"/>
  <c r="AB331" i="31"/>
  <c r="AC331" i="31"/>
  <c r="AA327" i="31"/>
  <c r="AE327" i="31"/>
  <c r="AB327" i="31"/>
  <c r="AC327" i="31"/>
  <c r="AA323" i="31"/>
  <c r="AE323" i="31"/>
  <c r="AB323" i="31"/>
  <c r="AC323" i="31"/>
  <c r="AB316" i="31"/>
  <c r="AC316" i="31"/>
  <c r="AA316" i="31"/>
  <c r="AE316" i="31"/>
  <c r="AB312" i="31"/>
  <c r="AC312" i="31"/>
  <c r="AA312" i="31"/>
  <c r="AE312" i="31"/>
  <c r="AB308" i="31"/>
  <c r="AE308" i="31"/>
  <c r="AE307" i="31" s="1"/>
  <c r="AA300" i="31"/>
  <c r="I16" i="33" s="1"/>
  <c r="AE300" i="31"/>
  <c r="L16" i="33" s="1"/>
  <c r="M16" i="33" s="1"/>
  <c r="AB300" i="31"/>
  <c r="AC300" i="31"/>
  <c r="J16" i="33" s="1"/>
  <c r="AB296" i="31"/>
  <c r="AB292" i="31"/>
  <c r="AE292" i="31"/>
  <c r="L12" i="33" s="1"/>
  <c r="M12" i="33" s="1"/>
  <c r="AB284" i="31"/>
  <c r="AC284" i="31"/>
  <c r="AE284" i="31"/>
  <c r="AA284" i="31"/>
  <c r="AA278" i="31"/>
  <c r="I11" i="12" s="1"/>
  <c r="AE278" i="31"/>
  <c r="L11" i="12" s="1"/>
  <c r="M11" i="12" s="1"/>
  <c r="AB278" i="31"/>
  <c r="AC278" i="31"/>
  <c r="J11" i="12" s="1"/>
  <c r="AA274" i="31"/>
  <c r="AE274" i="31"/>
  <c r="AB274" i="31"/>
  <c r="AC274" i="31"/>
  <c r="AA270" i="31"/>
  <c r="AE270" i="31"/>
  <c r="AB270" i="31"/>
  <c r="AC270" i="31"/>
  <c r="AA266" i="31"/>
  <c r="AE266" i="31"/>
  <c r="AB266" i="31"/>
  <c r="AC266" i="31"/>
  <c r="AB261" i="31"/>
  <c r="AC261" i="31"/>
  <c r="AA261" i="31"/>
  <c r="AE261" i="31"/>
  <c r="AA256" i="31"/>
  <c r="I12" i="9" s="1"/>
  <c r="AE256" i="31"/>
  <c r="L12" i="9" s="1"/>
  <c r="M12" i="9" s="1"/>
  <c r="AB256" i="31"/>
  <c r="AC256" i="31"/>
  <c r="J12" i="9" s="1"/>
  <c r="AC231" i="31"/>
  <c r="K14" i="21" s="1"/>
  <c r="AA231" i="31"/>
  <c r="J14" i="21" s="1"/>
  <c r="AE231" i="31"/>
  <c r="M14" i="21" s="1"/>
  <c r="N14" i="21" s="1"/>
  <c r="AB231" i="31"/>
  <c r="AC227" i="31"/>
  <c r="K12" i="21" s="1"/>
  <c r="AA227" i="31"/>
  <c r="J12" i="21" s="1"/>
  <c r="AB227" i="31"/>
  <c r="AE299" i="31"/>
  <c r="L13" i="33" s="1"/>
  <c r="M13" i="33" s="1"/>
  <c r="AB299" i="31"/>
  <c r="AA295" i="31"/>
  <c r="I18" i="33" s="1"/>
  <c r="AE295" i="31"/>
  <c r="L18" i="33" s="1"/>
  <c r="M18" i="33" s="1"/>
  <c r="AB295" i="31"/>
  <c r="AC291" i="31"/>
  <c r="J15" i="33" s="1"/>
  <c r="AB291" i="31"/>
  <c r="AE291" i="31"/>
  <c r="L15" i="33" s="1"/>
  <c r="M15" i="33" s="1"/>
  <c r="AA291" i="31"/>
  <c r="I15" i="33" s="1"/>
  <c r="AE283" i="31"/>
  <c r="AA283" i="31"/>
  <c r="AA282" i="31" s="1"/>
  <c r="AC283" i="31"/>
  <c r="AB283" i="31"/>
  <c r="AB282" i="31" s="1"/>
  <c r="AB277" i="31"/>
  <c r="AC277" i="31"/>
  <c r="AE277" i="31"/>
  <c r="AA277" i="31"/>
  <c r="AB273" i="31"/>
  <c r="AC273" i="31"/>
  <c r="AE273" i="31"/>
  <c r="AA273" i="31"/>
  <c r="AB269" i="31"/>
  <c r="AC269" i="31"/>
  <c r="AE269" i="31"/>
  <c r="AA269" i="31"/>
  <c r="AC264" i="31"/>
  <c r="AA264" i="31"/>
  <c r="AE264" i="31"/>
  <c r="AB264" i="31"/>
  <c r="AC260" i="31"/>
  <c r="AA260" i="31"/>
  <c r="AE260" i="31"/>
  <c r="AB260" i="31"/>
  <c r="AA255" i="31"/>
  <c r="I11" i="9" s="1"/>
  <c r="AE255" i="31"/>
  <c r="L11" i="9" s="1"/>
  <c r="M11" i="9" s="1"/>
  <c r="AB255" i="31"/>
  <c r="AC255" i="31"/>
  <c r="J11" i="9" s="1"/>
  <c r="AA250" i="31"/>
  <c r="AE250" i="31"/>
  <c r="AB250" i="31"/>
  <c r="AC250" i="31"/>
  <c r="AA230" i="31"/>
  <c r="AB230" i="31"/>
  <c r="AC230" i="31"/>
  <c r="AC226" i="31"/>
  <c r="AB226" i="31"/>
  <c r="AA226" i="31"/>
  <c r="AA390" i="31"/>
  <c r="K10" i="28" s="1"/>
  <c r="AE390" i="31"/>
  <c r="N10" i="28" s="1"/>
  <c r="AB390" i="31"/>
  <c r="AC390" i="31"/>
  <c r="L10" i="28" s="1"/>
  <c r="AC381" i="31"/>
  <c r="L24" i="28" s="1"/>
  <c r="AB381" i="31"/>
  <c r="AA381" i="31"/>
  <c r="K24" i="28" s="1"/>
  <c r="N24" i="28"/>
  <c r="O24" i="28" s="1"/>
  <c r="AB389" i="31"/>
  <c r="AC389" i="31"/>
  <c r="AA389" i="31"/>
  <c r="AE389" i="31"/>
  <c r="AA367" i="31"/>
  <c r="AE367" i="31"/>
  <c r="AB367" i="31"/>
  <c r="AC367" i="31"/>
  <c r="AA359" i="31"/>
  <c r="AE359" i="31"/>
  <c r="AB359" i="31"/>
  <c r="AC359" i="31"/>
  <c r="AA351" i="31"/>
  <c r="K17" i="28" s="1"/>
  <c r="AE351" i="31"/>
  <c r="N17" i="28" s="1"/>
  <c r="O17" i="28" s="1"/>
  <c r="AB351" i="31"/>
  <c r="AC351" i="31"/>
  <c r="L17" i="28" s="1"/>
  <c r="AB338" i="31"/>
  <c r="AC338" i="31"/>
  <c r="AA338" i="31"/>
  <c r="AE338" i="31"/>
  <c r="AA224" i="31"/>
  <c r="AE224" i="31"/>
  <c r="AB224" i="31"/>
  <c r="AC224" i="31"/>
  <c r="AA384" i="31"/>
  <c r="K28" i="28" s="1"/>
  <c r="AC384" i="31"/>
  <c r="L28" i="28" s="1"/>
  <c r="AB384" i="31"/>
  <c r="AB362" i="31"/>
  <c r="AC362" i="31"/>
  <c r="AE362" i="31"/>
  <c r="AA362" i="31"/>
  <c r="AB350" i="31"/>
  <c r="AC350" i="31"/>
  <c r="L14" i="28" s="1"/>
  <c r="AE350" i="31"/>
  <c r="N14" i="28" s="1"/>
  <c r="O14" i="28" s="1"/>
  <c r="AA350" i="31"/>
  <c r="K14" i="28" s="1"/>
  <c r="AB342" i="31"/>
  <c r="AC342" i="31"/>
  <c r="AA342" i="31"/>
  <c r="AE342" i="31"/>
  <c r="AC337" i="31"/>
  <c r="AB337" i="31"/>
  <c r="AA337" i="31"/>
  <c r="AE337" i="31"/>
  <c r="AC333" i="31"/>
  <c r="AB333" i="31"/>
  <c r="AA333" i="31"/>
  <c r="AE333" i="31"/>
  <c r="AC329" i="31"/>
  <c r="AB329" i="31"/>
  <c r="AA329" i="31"/>
  <c r="AE329" i="31"/>
  <c r="AC325" i="31"/>
  <c r="AB325" i="31"/>
  <c r="AA325" i="31"/>
  <c r="AE325" i="31"/>
  <c r="AC321" i="31"/>
  <c r="AB321" i="31"/>
  <c r="AA321" i="31"/>
  <c r="AE321" i="31"/>
  <c r="AA314" i="31"/>
  <c r="AE314" i="31"/>
  <c r="AB314" i="31"/>
  <c r="AC314" i="31"/>
  <c r="AC302" i="31"/>
  <c r="J20" i="33" s="1"/>
  <c r="AB302" i="31"/>
  <c r="AE302" i="31"/>
  <c r="L20" i="33" s="1"/>
  <c r="M20" i="33" s="1"/>
  <c r="AA302" i="31"/>
  <c r="I20" i="33" s="1"/>
  <c r="AB298" i="31"/>
  <c r="AB294" i="31"/>
  <c r="AC294" i="31"/>
  <c r="J19" i="33" s="1"/>
  <c r="AA294" i="31"/>
  <c r="I19" i="33" s="1"/>
  <c r="AE294" i="31"/>
  <c r="L19" i="33" s="1"/>
  <c r="M19" i="33" s="1"/>
  <c r="AC276" i="31"/>
  <c r="AA276" i="31"/>
  <c r="AE276" i="31"/>
  <c r="AB276" i="31"/>
  <c r="AC272" i="31"/>
  <c r="AA272" i="31"/>
  <c r="AE272" i="31"/>
  <c r="AB272" i="31"/>
  <c r="AC268" i="31"/>
  <c r="AA268" i="31"/>
  <c r="AE268" i="31"/>
  <c r="AB268" i="31"/>
  <c r="AA263" i="31"/>
  <c r="AE263" i="31"/>
  <c r="AB263" i="31"/>
  <c r="AC263" i="31"/>
  <c r="AA259" i="31"/>
  <c r="AE259" i="31"/>
  <c r="AB259" i="31"/>
  <c r="AC259" i="31"/>
  <c r="AB254" i="31"/>
  <c r="AC254" i="31"/>
  <c r="AA254" i="31"/>
  <c r="AE254" i="31"/>
  <c r="AB249" i="31"/>
  <c r="AC249" i="31"/>
  <c r="J10" i="8" s="1"/>
  <c r="AA249" i="31"/>
  <c r="I10" i="8" s="1"/>
  <c r="I9" i="8" s="1"/>
  <c r="AE249" i="31"/>
  <c r="L10" i="8" s="1"/>
  <c r="AA229" i="31"/>
  <c r="J13" i="21" s="1"/>
  <c r="AB229" i="31"/>
  <c r="AC229" i="31"/>
  <c r="K13" i="21" s="1"/>
  <c r="V29" i="31"/>
  <c r="V30" i="31"/>
  <c r="Z30" i="31" s="1"/>
  <c r="V31" i="31"/>
  <c r="Z31" i="31" s="1"/>
  <c r="V32" i="31"/>
  <c r="Z32" i="31" s="1"/>
  <c r="V33" i="31"/>
  <c r="Z33" i="31" s="1"/>
  <c r="V34" i="31"/>
  <c r="Z34" i="31" s="1"/>
  <c r="V35" i="31"/>
  <c r="Z35" i="31" s="1"/>
  <c r="V36" i="31"/>
  <c r="Z36" i="31" s="1"/>
  <c r="V37" i="31"/>
  <c r="Z37" i="31" s="1"/>
  <c r="V38" i="31"/>
  <c r="Z38" i="31" s="1"/>
  <c r="V39" i="31"/>
  <c r="Z39" i="31" s="1"/>
  <c r="V40" i="31"/>
  <c r="Z40" i="31" s="1"/>
  <c r="V41" i="31"/>
  <c r="Z41" i="31" s="1"/>
  <c r="V42" i="31"/>
  <c r="Z42" i="31" s="1"/>
  <c r="V43" i="31"/>
  <c r="Z43" i="31" s="1"/>
  <c r="V44" i="31"/>
  <c r="Z44" i="31" s="1"/>
  <c r="V45" i="31"/>
  <c r="Z45" i="31" s="1"/>
  <c r="V46" i="31"/>
  <c r="Z46" i="31" s="1"/>
  <c r="V47" i="31"/>
  <c r="Z47" i="31" s="1"/>
  <c r="V48" i="31"/>
  <c r="Z48" i="31" s="1"/>
  <c r="V49" i="31"/>
  <c r="Z49" i="31" s="1"/>
  <c r="V50" i="31"/>
  <c r="Z50" i="31" s="1"/>
  <c r="V51" i="31"/>
  <c r="Z51" i="31" s="1"/>
  <c r="V52" i="31"/>
  <c r="Z52" i="31" s="1"/>
  <c r="V53" i="31"/>
  <c r="Z53" i="31" s="1"/>
  <c r="V54" i="31"/>
  <c r="Z54" i="31" s="1"/>
  <c r="V55" i="31"/>
  <c r="Z55" i="31" s="1"/>
  <c r="V56" i="31"/>
  <c r="Z56" i="31" s="1"/>
  <c r="V57" i="31"/>
  <c r="Z57" i="31" s="1"/>
  <c r="V58" i="31"/>
  <c r="Z58" i="31" s="1"/>
  <c r="V59" i="31"/>
  <c r="Z59" i="31" s="1"/>
  <c r="V60" i="31"/>
  <c r="Z60" i="31" s="1"/>
  <c r="V61" i="31"/>
  <c r="Z61" i="31" s="1"/>
  <c r="V62" i="31"/>
  <c r="Z62" i="31" s="1"/>
  <c r="V63" i="31"/>
  <c r="Z63" i="31" s="1"/>
  <c r="V64" i="31"/>
  <c r="Z64" i="31" s="1"/>
  <c r="V65" i="31"/>
  <c r="Z65" i="31" s="1"/>
  <c r="V15" i="31"/>
  <c r="Z15" i="31" s="1"/>
  <c r="V16" i="31"/>
  <c r="Z16" i="31" s="1"/>
  <c r="V17" i="31"/>
  <c r="Z17" i="31" s="1"/>
  <c r="V18" i="31"/>
  <c r="Z18" i="31" s="1"/>
  <c r="V19" i="31"/>
  <c r="Z19" i="31" s="1"/>
  <c r="V20" i="31"/>
  <c r="Z20" i="31" s="1"/>
  <c r="V21" i="31"/>
  <c r="Z21" i="31" s="1"/>
  <c r="V14" i="31"/>
  <c r="Z14" i="31" s="1"/>
  <c r="P185" i="31"/>
  <c r="P184" i="31"/>
  <c r="P158" i="31"/>
  <c r="I99" i="20" s="1"/>
  <c r="P173" i="31"/>
  <c r="P154" i="31"/>
  <c r="V67" i="31"/>
  <c r="Z67" i="31" s="1"/>
  <c r="V68" i="31"/>
  <c r="Z68" i="31" s="1"/>
  <c r="V69" i="31"/>
  <c r="Z69" i="31" s="1"/>
  <c r="V70" i="31"/>
  <c r="Z70" i="31" s="1"/>
  <c r="V71" i="31"/>
  <c r="Z71" i="31" s="1"/>
  <c r="V72" i="31"/>
  <c r="Z72" i="31" s="1"/>
  <c r="V73" i="31"/>
  <c r="Z73" i="31" s="1"/>
  <c r="V74" i="31"/>
  <c r="Z74" i="31" s="1"/>
  <c r="V75" i="31"/>
  <c r="Z75" i="31" s="1"/>
  <c r="V76" i="31"/>
  <c r="Z76" i="31" s="1"/>
  <c r="V77" i="31"/>
  <c r="Z77" i="31" s="1"/>
  <c r="V78" i="31"/>
  <c r="Z78" i="31" s="1"/>
  <c r="V79" i="31"/>
  <c r="Z79" i="31" s="1"/>
  <c r="V80" i="31"/>
  <c r="Z80" i="31" s="1"/>
  <c r="V81" i="31"/>
  <c r="Z81" i="31" s="1"/>
  <c r="V82" i="31"/>
  <c r="Z82" i="31" s="1"/>
  <c r="V83" i="31"/>
  <c r="Z83" i="31" s="1"/>
  <c r="V84" i="31"/>
  <c r="Z84" i="31" s="1"/>
  <c r="V85" i="31"/>
  <c r="Z85" i="31" s="1"/>
  <c r="V86" i="31"/>
  <c r="Z86" i="31" s="1"/>
  <c r="V87" i="31"/>
  <c r="Z87" i="31" s="1"/>
  <c r="V88" i="31"/>
  <c r="Z88" i="31" s="1"/>
  <c r="V89" i="31"/>
  <c r="Z89" i="31" s="1"/>
  <c r="V90" i="31"/>
  <c r="Z90" i="31" s="1"/>
  <c r="V91" i="31"/>
  <c r="Z91" i="31" s="1"/>
  <c r="V92" i="31"/>
  <c r="Z92" i="31" s="1"/>
  <c r="V93" i="31"/>
  <c r="Z93" i="31" s="1"/>
  <c r="V94" i="31"/>
  <c r="Z94" i="31" s="1"/>
  <c r="V95" i="31"/>
  <c r="Z95" i="31" s="1"/>
  <c r="V96" i="31"/>
  <c r="Z96" i="31" s="1"/>
  <c r="V97" i="31"/>
  <c r="Z97" i="31" s="1"/>
  <c r="V98" i="31"/>
  <c r="Z98" i="31" s="1"/>
  <c r="V99" i="31"/>
  <c r="Z99" i="31" s="1"/>
  <c r="V100" i="31"/>
  <c r="Z100" i="31" s="1"/>
  <c r="V101" i="31"/>
  <c r="Z101" i="31" s="1"/>
  <c r="V102" i="31"/>
  <c r="Z102" i="31" s="1"/>
  <c r="V103" i="31"/>
  <c r="Z103" i="31" s="1"/>
  <c r="V104" i="31"/>
  <c r="Z104" i="31" s="1"/>
  <c r="V105" i="31"/>
  <c r="Z105" i="31" s="1"/>
  <c r="V106" i="31"/>
  <c r="Z106" i="31" s="1"/>
  <c r="V107" i="31"/>
  <c r="Z107" i="31" s="1"/>
  <c r="V108" i="31"/>
  <c r="Z108" i="31" s="1"/>
  <c r="V109" i="31"/>
  <c r="Z109" i="31" s="1"/>
  <c r="V110" i="31"/>
  <c r="Z110" i="31" s="1"/>
  <c r="V111" i="31"/>
  <c r="Z111" i="31" s="1"/>
  <c r="V112" i="31"/>
  <c r="Z112" i="31" s="1"/>
  <c r="V114" i="31"/>
  <c r="Z114" i="31" s="1"/>
  <c r="V115" i="31"/>
  <c r="Z115" i="31" s="1"/>
  <c r="V116" i="31"/>
  <c r="Z116" i="31" s="1"/>
  <c r="V117" i="31"/>
  <c r="Z117" i="31" s="1"/>
  <c r="V118" i="31"/>
  <c r="Z118" i="31" s="1"/>
  <c r="V119" i="31"/>
  <c r="Z119" i="31" s="1"/>
  <c r="V120" i="31"/>
  <c r="Z120" i="31" s="1"/>
  <c r="V121" i="31"/>
  <c r="Z121" i="31" s="1"/>
  <c r="V122" i="31"/>
  <c r="Z122" i="31" s="1"/>
  <c r="V123" i="31"/>
  <c r="Z123" i="31" s="1"/>
  <c r="V124" i="31"/>
  <c r="Z124" i="31" s="1"/>
  <c r="V125" i="31"/>
  <c r="Z125" i="31" s="1"/>
  <c r="V126" i="31"/>
  <c r="Z126" i="31" s="1"/>
  <c r="V127" i="31"/>
  <c r="Z127" i="31" s="1"/>
  <c r="V128" i="31"/>
  <c r="Z128" i="31" s="1"/>
  <c r="V129" i="31"/>
  <c r="Z129" i="31" s="1"/>
  <c r="V130" i="31"/>
  <c r="Z130" i="31" s="1"/>
  <c r="V131" i="31"/>
  <c r="Z131" i="31" s="1"/>
  <c r="V132" i="31"/>
  <c r="Z132" i="31" s="1"/>
  <c r="V133" i="31"/>
  <c r="Z133" i="31" s="1"/>
  <c r="V134" i="31"/>
  <c r="Z134" i="31" s="1"/>
  <c r="V135" i="31"/>
  <c r="Z135" i="31" s="1"/>
  <c r="V136" i="31"/>
  <c r="Z136" i="31" s="1"/>
  <c r="V137" i="31"/>
  <c r="Z137" i="31" s="1"/>
  <c r="V138" i="31"/>
  <c r="Z138" i="31" s="1"/>
  <c r="V139" i="31"/>
  <c r="Z139" i="31" s="1"/>
  <c r="V140" i="31"/>
  <c r="Z140" i="31" s="1"/>
  <c r="V141" i="31"/>
  <c r="Z141" i="31" s="1"/>
  <c r="V142" i="31"/>
  <c r="Z142" i="31" s="1"/>
  <c r="V143" i="31"/>
  <c r="Z143" i="31" s="1"/>
  <c r="V144" i="31"/>
  <c r="Z144" i="31" s="1"/>
  <c r="V145" i="31"/>
  <c r="Z145" i="31" s="1"/>
  <c r="V146" i="31"/>
  <c r="Z146" i="31" s="1"/>
  <c r="V147" i="31"/>
  <c r="Z147" i="31" s="1"/>
  <c r="V148" i="31"/>
  <c r="Z148" i="31" s="1"/>
  <c r="V66" i="31"/>
  <c r="Z66" i="31" s="1"/>
  <c r="Q316" i="36"/>
  <c r="P316" i="36"/>
  <c r="P315" i="36"/>
  <c r="Q315" i="36"/>
  <c r="K314" i="36"/>
  <c r="J314" i="36"/>
  <c r="I314" i="36"/>
  <c r="H314" i="36"/>
  <c r="G314" i="36"/>
  <c r="Q313" i="36"/>
  <c r="P313" i="36"/>
  <c r="K312" i="36"/>
  <c r="J312" i="36"/>
  <c r="I312" i="36"/>
  <c r="H312" i="36"/>
  <c r="G312" i="36"/>
  <c r="Q311" i="36"/>
  <c r="P311" i="36"/>
  <c r="H311" i="36"/>
  <c r="H309" i="36" s="1"/>
  <c r="Q310" i="36"/>
  <c r="P310" i="36"/>
  <c r="K309" i="36"/>
  <c r="J309" i="36"/>
  <c r="I309" i="36"/>
  <c r="G309" i="36"/>
  <c r="Q307" i="36"/>
  <c r="P307" i="36"/>
  <c r="H307" i="36"/>
  <c r="Q306" i="36"/>
  <c r="P306" i="36"/>
  <c r="H306" i="36"/>
  <c r="K305" i="36"/>
  <c r="J305" i="36"/>
  <c r="I305" i="36"/>
  <c r="G305" i="36"/>
  <c r="Q304" i="36"/>
  <c r="P304" i="36"/>
  <c r="K303" i="36"/>
  <c r="J303" i="36"/>
  <c r="I303" i="36"/>
  <c r="H303" i="36"/>
  <c r="G303" i="36"/>
  <c r="Q301" i="36"/>
  <c r="P301" i="36"/>
  <c r="Q300" i="36"/>
  <c r="P300" i="36"/>
  <c r="H300" i="36"/>
  <c r="H298" i="36" s="1"/>
  <c r="Q299" i="36"/>
  <c r="P299" i="36"/>
  <c r="K298" i="36"/>
  <c r="J298" i="36"/>
  <c r="I298" i="36"/>
  <c r="G298" i="36"/>
  <c r="Q296" i="36"/>
  <c r="P296" i="36"/>
  <c r="Q295" i="36"/>
  <c r="P295" i="36"/>
  <c r="Q294" i="36"/>
  <c r="P294" i="36"/>
  <c r="Q293" i="36"/>
  <c r="P293" i="36"/>
  <c r="K292" i="36"/>
  <c r="J292" i="36"/>
  <c r="I292" i="36"/>
  <c r="H292" i="36"/>
  <c r="G292" i="36"/>
  <c r="Q291" i="36"/>
  <c r="P291" i="36"/>
  <c r="Q290" i="36"/>
  <c r="P290" i="36"/>
  <c r="Q289" i="36"/>
  <c r="P289" i="36"/>
  <c r="H289" i="36"/>
  <c r="K288" i="36"/>
  <c r="J288" i="36"/>
  <c r="I288" i="36"/>
  <c r="H288" i="36"/>
  <c r="G288" i="36"/>
  <c r="Q287" i="36"/>
  <c r="P287" i="36"/>
  <c r="H287" i="36"/>
  <c r="H285" i="36" s="1"/>
  <c r="H284" i="36" s="1"/>
  <c r="Q286" i="36"/>
  <c r="P286" i="36"/>
  <c r="K285" i="36"/>
  <c r="J285" i="36"/>
  <c r="I285" i="36"/>
  <c r="G285" i="36"/>
  <c r="Q283" i="36"/>
  <c r="P283" i="36"/>
  <c r="Q282" i="36"/>
  <c r="P282" i="36"/>
  <c r="Q281" i="36"/>
  <c r="P281" i="36"/>
  <c r="Q280" i="36"/>
  <c r="P280" i="36"/>
  <c r="Q279" i="36"/>
  <c r="P279" i="36"/>
  <c r="Q278" i="36"/>
  <c r="P278" i="36"/>
  <c r="Q277" i="36"/>
  <c r="P277" i="36"/>
  <c r="N277" i="36"/>
  <c r="Q276" i="36"/>
  <c r="P276" i="36"/>
  <c r="N276" i="36"/>
  <c r="Q275" i="36"/>
  <c r="P275" i="36"/>
  <c r="N275" i="36"/>
  <c r="Q274" i="36"/>
  <c r="P274" i="36"/>
  <c r="Q273" i="36"/>
  <c r="P273" i="36"/>
  <c r="Q272" i="36"/>
  <c r="P272" i="36"/>
  <c r="Q271" i="36"/>
  <c r="P271" i="36"/>
  <c r="Q270" i="36"/>
  <c r="P270" i="36"/>
  <c r="Q269" i="36"/>
  <c r="P269" i="36"/>
  <c r="P268" i="36"/>
  <c r="J268" i="36"/>
  <c r="Q268" i="36" s="1"/>
  <c r="P267" i="36"/>
  <c r="J267" i="36"/>
  <c r="Q267" i="36" s="1"/>
  <c r="P266" i="36"/>
  <c r="J266" i="36"/>
  <c r="Q266" i="36" s="1"/>
  <c r="P265" i="36"/>
  <c r="J265" i="36"/>
  <c r="Q265" i="36" s="1"/>
  <c r="P264" i="36"/>
  <c r="J264" i="36"/>
  <c r="Q264" i="36" s="1"/>
  <c r="P263" i="36"/>
  <c r="J263" i="36"/>
  <c r="Q263" i="36" s="1"/>
  <c r="P262" i="36"/>
  <c r="J262" i="36"/>
  <c r="Q262" i="36" s="1"/>
  <c r="P261" i="36"/>
  <c r="J261" i="36"/>
  <c r="Q261" i="36" s="1"/>
  <c r="P260" i="36"/>
  <c r="J260" i="36"/>
  <c r="Q260" i="36" s="1"/>
  <c r="P259" i="36"/>
  <c r="J259" i="36"/>
  <c r="P258" i="36"/>
  <c r="J258" i="36"/>
  <c r="Q258" i="36" s="1"/>
  <c r="Q257" i="36"/>
  <c r="P257" i="36"/>
  <c r="K256" i="36"/>
  <c r="N256" i="36" s="1"/>
  <c r="I256" i="36"/>
  <c r="H256" i="36"/>
  <c r="G256" i="36"/>
  <c r="Q254" i="36"/>
  <c r="P254" i="36"/>
  <c r="Q253" i="36"/>
  <c r="P253" i="36"/>
  <c r="Q252" i="36"/>
  <c r="P252" i="36"/>
  <c r="Q251" i="36"/>
  <c r="P251" i="36"/>
  <c r="Q250" i="36"/>
  <c r="P250" i="36"/>
  <c r="Q249" i="36"/>
  <c r="P249" i="36"/>
  <c r="Q248" i="36"/>
  <c r="P248" i="36"/>
  <c r="Q247" i="36"/>
  <c r="P247" i="36"/>
  <c r="Q246" i="36"/>
  <c r="P246" i="36"/>
  <c r="Q245" i="36"/>
  <c r="P245" i="36"/>
  <c r="Q244" i="36"/>
  <c r="P244" i="36"/>
  <c r="Q243" i="36"/>
  <c r="P243" i="36"/>
  <c r="Q242" i="36"/>
  <c r="P242" i="36"/>
  <c r="P241" i="36"/>
  <c r="Q241" i="36"/>
  <c r="Q240" i="36"/>
  <c r="P240" i="36"/>
  <c r="P239" i="36"/>
  <c r="Q239" i="36"/>
  <c r="Q238" i="36"/>
  <c r="Q237" i="36"/>
  <c r="P237" i="36"/>
  <c r="J236" i="36"/>
  <c r="I236" i="36"/>
  <c r="H236" i="36"/>
  <c r="G236" i="36"/>
  <c r="I235" i="36"/>
  <c r="P235" i="36" s="1"/>
  <c r="H235" i="36"/>
  <c r="K234" i="36"/>
  <c r="V371" i="31" s="1"/>
  <c r="Z371" i="31" s="1"/>
  <c r="AA371" i="31" s="1"/>
  <c r="J234" i="36"/>
  <c r="Q233" i="36"/>
  <c r="P233" i="36"/>
  <c r="Q232" i="36"/>
  <c r="P232" i="36"/>
  <c r="Q231" i="36"/>
  <c r="P231" i="36"/>
  <c r="P230" i="36"/>
  <c r="J230" i="36"/>
  <c r="Q230" i="36" s="1"/>
  <c r="H230" i="36"/>
  <c r="Q229" i="36"/>
  <c r="P229" i="36"/>
  <c r="H229" i="36"/>
  <c r="Q228" i="36"/>
  <c r="P228" i="36"/>
  <c r="P227" i="36"/>
  <c r="J227" i="36"/>
  <c r="Q227" i="36" s="1"/>
  <c r="P226" i="36"/>
  <c r="Q225" i="36"/>
  <c r="P225" i="36"/>
  <c r="H225" i="36"/>
  <c r="P224" i="36"/>
  <c r="J224" i="36"/>
  <c r="Q224" i="36" s="1"/>
  <c r="H224" i="36"/>
  <c r="P223" i="36"/>
  <c r="Q223" i="36"/>
  <c r="P222" i="36"/>
  <c r="P221" i="36"/>
  <c r="Q221" i="36"/>
  <c r="P220" i="36"/>
  <c r="H220" i="36"/>
  <c r="Q219" i="36"/>
  <c r="P219" i="36"/>
  <c r="Q218" i="36"/>
  <c r="P218" i="36"/>
  <c r="Q217" i="36"/>
  <c r="P217" i="36"/>
  <c r="I216" i="36"/>
  <c r="J216" i="36" s="1"/>
  <c r="Q216" i="36" s="1"/>
  <c r="Q215" i="36"/>
  <c r="P215" i="36"/>
  <c r="P214" i="36"/>
  <c r="J214" i="36"/>
  <c r="Q214" i="36" s="1"/>
  <c r="H214" i="36"/>
  <c r="P213" i="36"/>
  <c r="J213" i="36"/>
  <c r="Q213" i="36" s="1"/>
  <c r="H213" i="36"/>
  <c r="I212" i="36"/>
  <c r="J212" i="36" s="1"/>
  <c r="Q212" i="36" s="1"/>
  <c r="H212" i="36"/>
  <c r="Q211" i="36"/>
  <c r="P211" i="36"/>
  <c r="P210" i="36"/>
  <c r="J210" i="36"/>
  <c r="Q210" i="36" s="1"/>
  <c r="H210" i="36"/>
  <c r="Q209" i="36"/>
  <c r="P209" i="36"/>
  <c r="P208" i="36"/>
  <c r="J208" i="36"/>
  <c r="Q208" i="36" s="1"/>
  <c r="P207" i="36"/>
  <c r="J207" i="36"/>
  <c r="Q207" i="36" s="1"/>
  <c r="P206" i="36"/>
  <c r="J206" i="36"/>
  <c r="Q206" i="36" s="1"/>
  <c r="Q205" i="36"/>
  <c r="P205" i="36"/>
  <c r="P204" i="36"/>
  <c r="J204" i="36"/>
  <c r="Q204" i="36" s="1"/>
  <c r="Q203" i="36"/>
  <c r="P203" i="36"/>
  <c r="Q202" i="36"/>
  <c r="P202" i="36"/>
  <c r="P201" i="36"/>
  <c r="J201" i="36"/>
  <c r="Q201" i="36" s="1"/>
  <c r="H201" i="36"/>
  <c r="P200" i="36"/>
  <c r="J200" i="36"/>
  <c r="Q200" i="36" s="1"/>
  <c r="Q199" i="36"/>
  <c r="P199" i="36"/>
  <c r="P198" i="36"/>
  <c r="J198" i="36"/>
  <c r="Q198" i="36" s="1"/>
  <c r="H198" i="36"/>
  <c r="Q197" i="36"/>
  <c r="P197" i="36"/>
  <c r="N197" i="36"/>
  <c r="Q196" i="36"/>
  <c r="P196" i="36"/>
  <c r="H196" i="36"/>
  <c r="Q195" i="36"/>
  <c r="P195" i="36"/>
  <c r="H195" i="36"/>
  <c r="P194" i="36"/>
  <c r="J194" i="36"/>
  <c r="Q194" i="36" s="1"/>
  <c r="Q193" i="36"/>
  <c r="P193" i="36"/>
  <c r="H193" i="36"/>
  <c r="Q192" i="36"/>
  <c r="P192" i="36"/>
  <c r="H192" i="36"/>
  <c r="Q190" i="36"/>
  <c r="P190" i="36"/>
  <c r="Q189" i="36"/>
  <c r="P189" i="36"/>
  <c r="I188" i="36"/>
  <c r="Q187" i="36"/>
  <c r="P187" i="36"/>
  <c r="Q186" i="36"/>
  <c r="P186" i="36"/>
  <c r="Q185" i="36"/>
  <c r="P185" i="36"/>
  <c r="G184" i="36"/>
  <c r="Q183" i="36"/>
  <c r="P183" i="36"/>
  <c r="P182" i="36"/>
  <c r="Q181" i="36"/>
  <c r="I181" i="36"/>
  <c r="P181" i="36" s="1"/>
  <c r="P180" i="36"/>
  <c r="I179" i="36"/>
  <c r="P178" i="36"/>
  <c r="Q178" i="36"/>
  <c r="K177" i="36"/>
  <c r="J177" i="36"/>
  <c r="I177" i="36"/>
  <c r="Q176" i="36"/>
  <c r="P176" i="36"/>
  <c r="N176" i="36"/>
  <c r="Q175" i="36"/>
  <c r="P175" i="36"/>
  <c r="Q174" i="36"/>
  <c r="P174" i="36"/>
  <c r="P173" i="36"/>
  <c r="N173" i="36"/>
  <c r="J173" i="36"/>
  <c r="Q173" i="36" s="1"/>
  <c r="H173" i="36"/>
  <c r="H171" i="36" s="1"/>
  <c r="H170" i="36" s="1"/>
  <c r="Q172" i="36"/>
  <c r="P172" i="36"/>
  <c r="N172" i="36"/>
  <c r="G171" i="36"/>
  <c r="G170" i="36" s="1"/>
  <c r="Q169" i="36"/>
  <c r="P169" i="36"/>
  <c r="Q168" i="36"/>
  <c r="P168" i="36"/>
  <c r="Q167" i="36"/>
  <c r="P167" i="36"/>
  <c r="Q166" i="36"/>
  <c r="P166" i="36"/>
  <c r="G166" i="36"/>
  <c r="G157" i="36" s="1"/>
  <c r="G156" i="36" s="1"/>
  <c r="Q165" i="36"/>
  <c r="P165" i="36"/>
  <c r="Q164" i="36"/>
  <c r="P164" i="36"/>
  <c r="H164" i="36"/>
  <c r="Q163" i="36"/>
  <c r="P163" i="36"/>
  <c r="Q162" i="36"/>
  <c r="P162" i="36"/>
  <c r="Q161" i="36"/>
  <c r="P161" i="36"/>
  <c r="Q160" i="36"/>
  <c r="P160" i="36"/>
  <c r="Q159" i="36"/>
  <c r="P159" i="36"/>
  <c r="Q158" i="36"/>
  <c r="P158" i="36"/>
  <c r="K157" i="36"/>
  <c r="K156" i="36" s="1"/>
  <c r="J157" i="36"/>
  <c r="I157" i="36"/>
  <c r="I156" i="36" s="1"/>
  <c r="H157" i="36"/>
  <c r="H156" i="36" s="1"/>
  <c r="Q155" i="36"/>
  <c r="P155" i="36"/>
  <c r="Q154" i="36"/>
  <c r="P154" i="36"/>
  <c r="K153" i="36"/>
  <c r="Q153" i="36" s="1"/>
  <c r="P151" i="36"/>
  <c r="J151" i="36"/>
  <c r="Q151" i="36" s="1"/>
  <c r="H151" i="36"/>
  <c r="H147" i="36" s="1"/>
  <c r="Q150" i="36"/>
  <c r="P150" i="36"/>
  <c r="Q149" i="36"/>
  <c r="P149" i="36"/>
  <c r="Q148" i="36"/>
  <c r="P148" i="36"/>
  <c r="K147" i="36"/>
  <c r="I147" i="36"/>
  <c r="G147" i="36"/>
  <c r="Q146" i="36"/>
  <c r="P146" i="36"/>
  <c r="J145" i="36"/>
  <c r="Q145" i="36" s="1"/>
  <c r="I145" i="36"/>
  <c r="P145" i="36" s="1"/>
  <c r="H145" i="36"/>
  <c r="H144" i="36" s="1"/>
  <c r="K144" i="36"/>
  <c r="G144" i="36"/>
  <c r="Q143" i="36"/>
  <c r="P143" i="36"/>
  <c r="Q142" i="36"/>
  <c r="P142" i="36"/>
  <c r="Q141" i="36"/>
  <c r="P141" i="36"/>
  <c r="Q140" i="36"/>
  <c r="P140" i="36"/>
  <c r="N140" i="36"/>
  <c r="Q139" i="36"/>
  <c r="P139" i="36"/>
  <c r="Q138" i="36"/>
  <c r="P138" i="36"/>
  <c r="P137" i="36"/>
  <c r="N137" i="36"/>
  <c r="J137" i="36"/>
  <c r="Q137" i="36" s="1"/>
  <c r="H137" i="36"/>
  <c r="P136" i="36"/>
  <c r="N136" i="36"/>
  <c r="J136" i="36"/>
  <c r="Q136" i="36" s="1"/>
  <c r="H136" i="36"/>
  <c r="Q135" i="36"/>
  <c r="P135" i="36"/>
  <c r="H135" i="36"/>
  <c r="P134" i="36"/>
  <c r="J134" i="36"/>
  <c r="Q134" i="36" s="1"/>
  <c r="K133" i="36"/>
  <c r="I133" i="36"/>
  <c r="G133" i="36"/>
  <c r="Q132" i="36"/>
  <c r="P132" i="36"/>
  <c r="H132" i="36"/>
  <c r="H130" i="36" s="1"/>
  <c r="Q131" i="36"/>
  <c r="P131" i="36"/>
  <c r="K130" i="36"/>
  <c r="J130" i="36"/>
  <c r="I130" i="36"/>
  <c r="P130" i="36" s="1"/>
  <c r="G130" i="36"/>
  <c r="Q129" i="36"/>
  <c r="P129" i="36"/>
  <c r="Q128" i="36"/>
  <c r="P128" i="36"/>
  <c r="H128" i="36"/>
  <c r="Q127" i="36"/>
  <c r="P127" i="36"/>
  <c r="Q126" i="36"/>
  <c r="P126" i="36"/>
  <c r="Q125" i="36"/>
  <c r="P125" i="36"/>
  <c r="Q124" i="36"/>
  <c r="P124" i="36"/>
  <c r="Q123" i="36"/>
  <c r="P123" i="36"/>
  <c r="Q122" i="36"/>
  <c r="P122" i="36"/>
  <c r="Q121" i="36"/>
  <c r="P121" i="36"/>
  <c r="Q120" i="36"/>
  <c r="P120" i="36"/>
  <c r="Q119" i="36"/>
  <c r="P119" i="36"/>
  <c r="Q118" i="36"/>
  <c r="P118" i="36"/>
  <c r="Q117" i="36"/>
  <c r="P117" i="36"/>
  <c r="Q116" i="36"/>
  <c r="P116" i="36"/>
  <c r="Q115" i="36"/>
  <c r="P115" i="36"/>
  <c r="Q114" i="36"/>
  <c r="P114" i="36"/>
  <c r="Q113" i="36"/>
  <c r="P113" i="36"/>
  <c r="Q112" i="36"/>
  <c r="P112" i="36"/>
  <c r="Q111" i="36"/>
  <c r="P111" i="36"/>
  <c r="H111" i="36"/>
  <c r="Q110" i="36"/>
  <c r="P110" i="36"/>
  <c r="Q109" i="36"/>
  <c r="P109" i="36"/>
  <c r="Q108" i="36"/>
  <c r="P108" i="36"/>
  <c r="Q107" i="36"/>
  <c r="P107" i="36"/>
  <c r="Q106" i="36"/>
  <c r="P106" i="36"/>
  <c r="Q105" i="36"/>
  <c r="P105" i="36"/>
  <c r="Q104" i="36"/>
  <c r="P104" i="36"/>
  <c r="Q103" i="36"/>
  <c r="P103" i="36"/>
  <c r="Q102" i="36"/>
  <c r="P102" i="36"/>
  <c r="Q101" i="36"/>
  <c r="P101" i="36"/>
  <c r="Q100" i="36"/>
  <c r="P100" i="36"/>
  <c r="Q99" i="36"/>
  <c r="P99" i="36"/>
  <c r="Q98" i="36"/>
  <c r="P98" i="36"/>
  <c r="Q97" i="36"/>
  <c r="P97" i="36"/>
  <c r="N97" i="36"/>
  <c r="Q96" i="36"/>
  <c r="P96" i="36"/>
  <c r="N96" i="36"/>
  <c r="Q95" i="36"/>
  <c r="P95" i="36"/>
  <c r="N95" i="36"/>
  <c r="Q94" i="36"/>
  <c r="P94" i="36"/>
  <c r="N94" i="36"/>
  <c r="Q93" i="36"/>
  <c r="P93" i="36"/>
  <c r="N93" i="36"/>
  <c r="Q92" i="36"/>
  <c r="P92" i="36"/>
  <c r="N92" i="36"/>
  <c r="Q91" i="36"/>
  <c r="P91" i="36"/>
  <c r="N91" i="36"/>
  <c r="Q90" i="36"/>
  <c r="P90" i="36"/>
  <c r="N90" i="36"/>
  <c r="Q89" i="36"/>
  <c r="P89" i="36"/>
  <c r="N89" i="36"/>
  <c r="Q88" i="36"/>
  <c r="P88" i="36"/>
  <c r="N88" i="36"/>
  <c r="Q87" i="36"/>
  <c r="P87" i="36"/>
  <c r="N87" i="36"/>
  <c r="Q86" i="36"/>
  <c r="P86" i="36"/>
  <c r="N86" i="36"/>
  <c r="Q85" i="36"/>
  <c r="P85" i="36"/>
  <c r="N85" i="36"/>
  <c r="Q84" i="36"/>
  <c r="P84" i="36"/>
  <c r="N84" i="36"/>
  <c r="Q83" i="36"/>
  <c r="P83" i="36"/>
  <c r="N83" i="36"/>
  <c r="Q82" i="36"/>
  <c r="P82" i="36"/>
  <c r="N82" i="36"/>
  <c r="Q81" i="36"/>
  <c r="P81" i="36"/>
  <c r="N81" i="36"/>
  <c r="Q80" i="36"/>
  <c r="P80" i="36"/>
  <c r="N80" i="36"/>
  <c r="Q79" i="36"/>
  <c r="P79" i="36"/>
  <c r="N79" i="36"/>
  <c r="Q78" i="36"/>
  <c r="P78" i="36"/>
  <c r="N78" i="36"/>
  <c r="Q77" i="36"/>
  <c r="P77" i="36"/>
  <c r="N77" i="36"/>
  <c r="Q76" i="36"/>
  <c r="P76" i="36"/>
  <c r="N76" i="36"/>
  <c r="Q75" i="36"/>
  <c r="P75" i="36"/>
  <c r="N75" i="36"/>
  <c r="Q74" i="36"/>
  <c r="P74" i="36"/>
  <c r="N74" i="36"/>
  <c r="Q73" i="36"/>
  <c r="P73" i="36"/>
  <c r="N73" i="36"/>
  <c r="Q72" i="36"/>
  <c r="P72" i="36"/>
  <c r="N72" i="36"/>
  <c r="Q71" i="36"/>
  <c r="P71" i="36"/>
  <c r="N71" i="36"/>
  <c r="Q70" i="36"/>
  <c r="P70" i="36"/>
  <c r="N70" i="36"/>
  <c r="Q69" i="36"/>
  <c r="P69" i="36"/>
  <c r="N69" i="36"/>
  <c r="Q68" i="36"/>
  <c r="P68" i="36"/>
  <c r="N68" i="36"/>
  <c r="Q67" i="36"/>
  <c r="P67" i="36"/>
  <c r="N67" i="36"/>
  <c r="Q66" i="36"/>
  <c r="P66" i="36"/>
  <c r="N66" i="36"/>
  <c r="Q65" i="36"/>
  <c r="P65" i="36"/>
  <c r="N65" i="36"/>
  <c r="Q64" i="36"/>
  <c r="P64" i="36"/>
  <c r="N64" i="36"/>
  <c r="Q63" i="36"/>
  <c r="P63" i="36"/>
  <c r="N63" i="36"/>
  <c r="Q62" i="36"/>
  <c r="P62" i="36"/>
  <c r="N62" i="36"/>
  <c r="Q61" i="36"/>
  <c r="P61" i="36"/>
  <c r="N61" i="36"/>
  <c r="Q60" i="36"/>
  <c r="P60" i="36"/>
  <c r="N60" i="36"/>
  <c r="Q59" i="36"/>
  <c r="P59" i="36"/>
  <c r="N59" i="36"/>
  <c r="Q58" i="36"/>
  <c r="P58" i="36"/>
  <c r="N58" i="36"/>
  <c r="Q57" i="36"/>
  <c r="P57" i="36"/>
  <c r="N57" i="36"/>
  <c r="Q56" i="36"/>
  <c r="P56" i="36"/>
  <c r="N56" i="36"/>
  <c r="Q55" i="36"/>
  <c r="P55" i="36"/>
  <c r="N55" i="36"/>
  <c r="Q54" i="36"/>
  <c r="P54" i="36"/>
  <c r="Q53" i="36"/>
  <c r="P53" i="36"/>
  <c r="Q52" i="36"/>
  <c r="P52" i="36"/>
  <c r="Q51" i="36"/>
  <c r="P51" i="36"/>
  <c r="Q50" i="36"/>
  <c r="P50" i="36"/>
  <c r="Q49" i="36"/>
  <c r="P49" i="36"/>
  <c r="Q48" i="36"/>
  <c r="P48" i="36"/>
  <c r="P47" i="36"/>
  <c r="N47" i="36"/>
  <c r="J47" i="36"/>
  <c r="Q47" i="36" s="1"/>
  <c r="P46" i="36"/>
  <c r="J46" i="36"/>
  <c r="Q46" i="36" s="1"/>
  <c r="P45" i="36"/>
  <c r="J45" i="36"/>
  <c r="Q45" i="36" s="1"/>
  <c r="P44" i="36"/>
  <c r="J44" i="36"/>
  <c r="Q44" i="36" s="1"/>
  <c r="P43" i="36"/>
  <c r="J43" i="36"/>
  <c r="Q43" i="36" s="1"/>
  <c r="P42" i="36"/>
  <c r="J42" i="36"/>
  <c r="Q42" i="36" s="1"/>
  <c r="P41" i="36"/>
  <c r="J41" i="36"/>
  <c r="Q41" i="36" s="1"/>
  <c r="P40" i="36"/>
  <c r="J40" i="36"/>
  <c r="Q40" i="36" s="1"/>
  <c r="P39" i="36"/>
  <c r="J39" i="36"/>
  <c r="Q39" i="36" s="1"/>
  <c r="P38" i="36"/>
  <c r="J38" i="36"/>
  <c r="Q38" i="36" s="1"/>
  <c r="P37" i="36"/>
  <c r="J37" i="36"/>
  <c r="Q37" i="36" s="1"/>
  <c r="P36" i="36"/>
  <c r="J36" i="36"/>
  <c r="Q36" i="36" s="1"/>
  <c r="P35" i="36"/>
  <c r="J35" i="36"/>
  <c r="P34" i="36"/>
  <c r="J34" i="36"/>
  <c r="Q34" i="36" s="1"/>
  <c r="Q33" i="36"/>
  <c r="P33" i="36"/>
  <c r="K32" i="36"/>
  <c r="I32" i="36"/>
  <c r="G32" i="36"/>
  <c r="Q31" i="36"/>
  <c r="P31" i="36"/>
  <c r="Q30" i="36"/>
  <c r="P30" i="36"/>
  <c r="Q29" i="36"/>
  <c r="P29" i="36"/>
  <c r="Q28" i="36"/>
  <c r="P28" i="36"/>
  <c r="Q27" i="36"/>
  <c r="P27" i="36"/>
  <c r="Q26" i="36"/>
  <c r="P26" i="36"/>
  <c r="Q25" i="36"/>
  <c r="P25" i="36"/>
  <c r="Q24" i="36"/>
  <c r="P24" i="36"/>
  <c r="Q23" i="36"/>
  <c r="P23" i="36"/>
  <c r="Q22" i="36"/>
  <c r="P22" i="36"/>
  <c r="K21" i="36"/>
  <c r="J21" i="36"/>
  <c r="I21" i="36"/>
  <c r="H21" i="36"/>
  <c r="G21" i="36"/>
  <c r="Q20" i="36"/>
  <c r="P20" i="36"/>
  <c r="Q19" i="36"/>
  <c r="P19" i="36"/>
  <c r="Q18" i="36"/>
  <c r="P18" i="36"/>
  <c r="Q17" i="36"/>
  <c r="P17" i="36"/>
  <c r="Q16" i="36"/>
  <c r="P16" i="36"/>
  <c r="Q15" i="36"/>
  <c r="P15" i="36"/>
  <c r="Q14" i="36"/>
  <c r="P14" i="36"/>
  <c r="K13" i="36"/>
  <c r="J13" i="36"/>
  <c r="I13" i="36"/>
  <c r="H13" i="36"/>
  <c r="G13" i="36"/>
  <c r="Q8" i="26" l="1"/>
  <c r="P314" i="36"/>
  <c r="Z376" i="31"/>
  <c r="AE378" i="31"/>
  <c r="D36" i="30"/>
  <c r="J144" i="36"/>
  <c r="AC223" i="31"/>
  <c r="AB307" i="31"/>
  <c r="AA223" i="31"/>
  <c r="AB223" i="31"/>
  <c r="Q303" i="36"/>
  <c r="Q130" i="36"/>
  <c r="Q157" i="36"/>
  <c r="I308" i="36"/>
  <c r="AB225" i="31"/>
  <c r="AB251" i="31"/>
  <c r="L22" i="28"/>
  <c r="AC376" i="31"/>
  <c r="AA310" i="31"/>
  <c r="AE310" i="31"/>
  <c r="M10" i="21"/>
  <c r="AE222" i="31"/>
  <c r="K10" i="21"/>
  <c r="AC222" i="31"/>
  <c r="Z289" i="31"/>
  <c r="J11" i="21"/>
  <c r="AA225" i="31"/>
  <c r="K11" i="21"/>
  <c r="AC225" i="31"/>
  <c r="L10" i="9"/>
  <c r="L8" i="9" s="1"/>
  <c r="AE251" i="31"/>
  <c r="K22" i="28"/>
  <c r="AA376" i="31"/>
  <c r="AB376" i="31"/>
  <c r="AB310" i="31"/>
  <c r="AC310" i="31"/>
  <c r="J10" i="21"/>
  <c r="AA222" i="31"/>
  <c r="AB222" i="31"/>
  <c r="L13" i="29"/>
  <c r="L11" i="29"/>
  <c r="J12" i="29"/>
  <c r="L10" i="29"/>
  <c r="L15" i="29"/>
  <c r="I13" i="29"/>
  <c r="I11" i="29"/>
  <c r="I16" i="29"/>
  <c r="J10" i="29"/>
  <c r="J15" i="29"/>
  <c r="J13" i="29"/>
  <c r="AE282" i="31"/>
  <c r="J11" i="29"/>
  <c r="J16" i="29"/>
  <c r="L12" i="29"/>
  <c r="I10" i="29"/>
  <c r="I12" i="29"/>
  <c r="I15" i="29"/>
  <c r="I14" i="29" s="1"/>
  <c r="P13" i="36"/>
  <c r="P21" i="36"/>
  <c r="H32" i="36"/>
  <c r="Q144" i="36"/>
  <c r="O10" i="28"/>
  <c r="M10" i="33"/>
  <c r="L16" i="29"/>
  <c r="Q13" i="36"/>
  <c r="P147" i="36"/>
  <c r="J147" i="36"/>
  <c r="P157" i="36"/>
  <c r="Q285" i="36"/>
  <c r="I108" i="20"/>
  <c r="AD173" i="31"/>
  <c r="L9" i="8"/>
  <c r="M10" i="8"/>
  <c r="M9" i="8" s="1"/>
  <c r="L9" i="15"/>
  <c r="M10" i="15"/>
  <c r="M9" i="15" s="1"/>
  <c r="J9" i="8"/>
  <c r="M9" i="12"/>
  <c r="M8" i="12" s="1"/>
  <c r="D16" i="30" s="1"/>
  <c r="N26" i="21"/>
  <c r="H308" i="36"/>
  <c r="H255" i="36"/>
  <c r="P309" i="36"/>
  <c r="P292" i="36"/>
  <c r="P298" i="36"/>
  <c r="J9" i="12"/>
  <c r="J8" i="12" s="1"/>
  <c r="L9" i="12"/>
  <c r="L8" i="12" s="1"/>
  <c r="I9" i="12"/>
  <c r="I8" i="12" s="1"/>
  <c r="G152" i="36"/>
  <c r="I171" i="36"/>
  <c r="I170" i="36" s="1"/>
  <c r="P177" i="36"/>
  <c r="J235" i="36"/>
  <c r="Q235" i="36" s="1"/>
  <c r="H305" i="36"/>
  <c r="H302" i="36" s="1"/>
  <c r="P312" i="36"/>
  <c r="P133" i="36"/>
  <c r="H133" i="36"/>
  <c r="Q288" i="36"/>
  <c r="G302" i="36"/>
  <c r="K302" i="36"/>
  <c r="P305" i="36"/>
  <c r="Q314" i="36"/>
  <c r="P180" i="31"/>
  <c r="Z29" i="31"/>
  <c r="Z28" i="31" s="1"/>
  <c r="V28" i="31"/>
  <c r="N22" i="28"/>
  <c r="O22" i="28" s="1"/>
  <c r="V289" i="31"/>
  <c r="I95" i="20"/>
  <c r="P149" i="31"/>
  <c r="Q177" i="36"/>
  <c r="V271" i="31"/>
  <c r="H184" i="36"/>
  <c r="AB371" i="31"/>
  <c r="AE371" i="31"/>
  <c r="G308" i="36"/>
  <c r="G10" i="36"/>
  <c r="K10" i="36"/>
  <c r="Q21" i="36"/>
  <c r="P32" i="36"/>
  <c r="J32" i="36"/>
  <c r="J133" i="36"/>
  <c r="Q133" i="36" s="1"/>
  <c r="I144" i="36"/>
  <c r="P144" i="36" s="1"/>
  <c r="Q147" i="36"/>
  <c r="P153" i="36"/>
  <c r="P156" i="36"/>
  <c r="P212" i="36"/>
  <c r="P216" i="36"/>
  <c r="Q226" i="36"/>
  <c r="V355" i="31"/>
  <c r="V320" i="31" s="1"/>
  <c r="Q234" i="36"/>
  <c r="P234" i="36"/>
  <c r="J256" i="36"/>
  <c r="Q256" i="36" s="1"/>
  <c r="Q292" i="36"/>
  <c r="Q305" i="36"/>
  <c r="Q312" i="36"/>
  <c r="AC371" i="31"/>
  <c r="AB14" i="31"/>
  <c r="AC14" i="31"/>
  <c r="AA14" i="31"/>
  <c r="AC20" i="31"/>
  <c r="J12" i="1" s="1"/>
  <c r="AA20" i="31"/>
  <c r="I12" i="1" s="1"/>
  <c r="AE20" i="31"/>
  <c r="L12" i="1" s="1"/>
  <c r="M12" i="1" s="1"/>
  <c r="AB20" i="31"/>
  <c r="AC16" i="31"/>
  <c r="AA16" i="31"/>
  <c r="AE16" i="31"/>
  <c r="AB16" i="31"/>
  <c r="AA19" i="31"/>
  <c r="I10" i="1" s="1"/>
  <c r="AE19" i="31"/>
  <c r="L10" i="1" s="1"/>
  <c r="AB19" i="31"/>
  <c r="AC19" i="31"/>
  <c r="J10" i="1" s="1"/>
  <c r="AA15" i="31"/>
  <c r="AE15" i="31"/>
  <c r="AB15" i="31"/>
  <c r="AC15" i="31"/>
  <c r="AA18" i="31"/>
  <c r="AE18" i="31"/>
  <c r="AB18" i="31"/>
  <c r="AC18" i="31"/>
  <c r="AB21" i="31"/>
  <c r="AC21" i="31"/>
  <c r="J14" i="1" s="1"/>
  <c r="AA21" i="31"/>
  <c r="I14" i="1" s="1"/>
  <c r="AE21" i="31"/>
  <c r="L14" i="1" s="1"/>
  <c r="M14" i="1" s="1"/>
  <c r="AB17" i="31"/>
  <c r="AC17" i="31"/>
  <c r="J11" i="1" s="1"/>
  <c r="AA17" i="31"/>
  <c r="I11" i="1" s="1"/>
  <c r="AE17" i="31"/>
  <c r="L11" i="1" s="1"/>
  <c r="M11" i="1" s="1"/>
  <c r="AB144" i="31"/>
  <c r="AC144" i="31"/>
  <c r="K72" i="20" s="1"/>
  <c r="AA144" i="31"/>
  <c r="J72" i="20" s="1"/>
  <c r="AB136" i="31"/>
  <c r="AC136" i="31"/>
  <c r="K64" i="20" s="1"/>
  <c r="AA136" i="31"/>
  <c r="J64" i="20" s="1"/>
  <c r="AB128" i="31"/>
  <c r="AC128" i="31"/>
  <c r="K77" i="20" s="1"/>
  <c r="AA128" i="31"/>
  <c r="J77" i="20" s="1"/>
  <c r="AB124" i="31"/>
  <c r="AC124" i="31"/>
  <c r="K57" i="20" s="1"/>
  <c r="AA124" i="31"/>
  <c r="J57" i="20" s="1"/>
  <c r="AA111" i="31"/>
  <c r="J36" i="20" s="1"/>
  <c r="AE111" i="31"/>
  <c r="M36" i="20" s="1"/>
  <c r="N36" i="20" s="1"/>
  <c r="AB111" i="31"/>
  <c r="AC111" i="31"/>
  <c r="K36" i="20" s="1"/>
  <c r="AA103" i="31"/>
  <c r="J39" i="20" s="1"/>
  <c r="AE103" i="31"/>
  <c r="M39" i="20" s="1"/>
  <c r="N39" i="20" s="1"/>
  <c r="AB103" i="31"/>
  <c r="AC103" i="31"/>
  <c r="K39" i="20" s="1"/>
  <c r="AA95" i="31"/>
  <c r="J19" i="20" s="1"/>
  <c r="AE95" i="31"/>
  <c r="M19" i="20" s="1"/>
  <c r="N19" i="20" s="1"/>
  <c r="AB95" i="31"/>
  <c r="AC95" i="31"/>
  <c r="K19" i="20" s="1"/>
  <c r="AA87" i="31"/>
  <c r="J49" i="20" s="1"/>
  <c r="AE87" i="31"/>
  <c r="M49" i="20" s="1"/>
  <c r="N49" i="20" s="1"/>
  <c r="AB87" i="31"/>
  <c r="AC87" i="31"/>
  <c r="K49" i="20" s="1"/>
  <c r="AA79" i="31"/>
  <c r="J22" i="20" s="1"/>
  <c r="AE79" i="31"/>
  <c r="M22" i="20" s="1"/>
  <c r="N22" i="20" s="1"/>
  <c r="AB79" i="31"/>
  <c r="AC79" i="31"/>
  <c r="K22" i="20" s="1"/>
  <c r="AA63" i="31"/>
  <c r="AE63" i="31"/>
  <c r="AB63" i="31"/>
  <c r="AC63" i="31"/>
  <c r="AA55" i="31"/>
  <c r="AE55" i="31"/>
  <c r="AB55" i="31"/>
  <c r="AC55" i="31"/>
  <c r="AA47" i="31"/>
  <c r="AE47" i="31"/>
  <c r="AB47" i="31"/>
  <c r="AC47" i="31"/>
  <c r="AC143" i="31"/>
  <c r="K85" i="20" s="1"/>
  <c r="AA143" i="31"/>
  <c r="J85" i="20" s="1"/>
  <c r="AB143" i="31"/>
  <c r="AC135" i="31"/>
  <c r="K76" i="20" s="1"/>
  <c r="AA135" i="31"/>
  <c r="J76" i="20" s="1"/>
  <c r="AB135" i="31"/>
  <c r="AC127" i="31"/>
  <c r="K56" i="20" s="1"/>
  <c r="AA127" i="31"/>
  <c r="J56" i="20" s="1"/>
  <c r="AB127" i="31"/>
  <c r="AC119" i="31"/>
  <c r="K67" i="20" s="1"/>
  <c r="AA119" i="31"/>
  <c r="J67" i="20" s="1"/>
  <c r="AB119" i="31"/>
  <c r="AB102" i="31"/>
  <c r="AE102" i="31"/>
  <c r="M51" i="20" s="1"/>
  <c r="N51" i="20" s="1"/>
  <c r="AA102" i="31"/>
  <c r="J51" i="20" s="1"/>
  <c r="AC102" i="31"/>
  <c r="K51" i="20" s="1"/>
  <c r="AA94" i="31"/>
  <c r="J40" i="20" s="1"/>
  <c r="AE94" i="31"/>
  <c r="M40" i="20" s="1"/>
  <c r="N40" i="20" s="1"/>
  <c r="AB94" i="31"/>
  <c r="AC94" i="31"/>
  <c r="K40" i="20" s="1"/>
  <c r="AA90" i="31"/>
  <c r="AE90" i="31"/>
  <c r="AB90" i="31"/>
  <c r="AC90" i="31"/>
  <c r="AA86" i="31"/>
  <c r="J44" i="20" s="1"/>
  <c r="AE86" i="31"/>
  <c r="M44" i="20" s="1"/>
  <c r="N44" i="20" s="1"/>
  <c r="AB86" i="31"/>
  <c r="AC86" i="31"/>
  <c r="K44" i="20" s="1"/>
  <c r="AA82" i="31"/>
  <c r="J23" i="20" s="1"/>
  <c r="AE82" i="31"/>
  <c r="M23" i="20" s="1"/>
  <c r="N23" i="20" s="1"/>
  <c r="AB82" i="31"/>
  <c r="AC82" i="31"/>
  <c r="K23" i="20" s="1"/>
  <c r="AA78" i="31"/>
  <c r="J26" i="20" s="1"/>
  <c r="AE78" i="31"/>
  <c r="M26" i="20" s="1"/>
  <c r="N26" i="20" s="1"/>
  <c r="AB78" i="31"/>
  <c r="AC78" i="31"/>
  <c r="K26" i="20" s="1"/>
  <c r="AA74" i="31"/>
  <c r="J16" i="20" s="1"/>
  <c r="AE74" i="31"/>
  <c r="M16" i="20" s="1"/>
  <c r="N16" i="20" s="1"/>
  <c r="AB74" i="31"/>
  <c r="AC74" i="31"/>
  <c r="K16" i="20" s="1"/>
  <c r="AB58" i="31"/>
  <c r="AC58" i="31"/>
  <c r="AE58" i="31"/>
  <c r="AA58" i="31"/>
  <c r="AB54" i="31"/>
  <c r="AC54" i="31"/>
  <c r="AE54" i="31"/>
  <c r="AA54" i="31"/>
  <c r="AB50" i="31"/>
  <c r="AC50" i="31"/>
  <c r="AE50" i="31"/>
  <c r="AA50" i="31"/>
  <c r="AB46" i="31"/>
  <c r="AC46" i="31"/>
  <c r="AE46" i="31"/>
  <c r="AA46" i="31"/>
  <c r="AB42" i="31"/>
  <c r="AC42" i="31"/>
  <c r="AE42" i="31"/>
  <c r="AB38" i="31"/>
  <c r="AC38" i="31"/>
  <c r="AE38" i="31"/>
  <c r="AA38" i="31"/>
  <c r="AB34" i="31"/>
  <c r="AC34" i="31"/>
  <c r="AE34" i="31"/>
  <c r="AA34" i="31"/>
  <c r="AB30" i="31"/>
  <c r="AE30" i="31"/>
  <c r="AA30" i="31"/>
  <c r="AC30" i="31"/>
  <c r="AA146" i="31"/>
  <c r="J62" i="20" s="1"/>
  <c r="AB146" i="31"/>
  <c r="AC146" i="31"/>
  <c r="K62" i="20" s="1"/>
  <c r="AA142" i="31"/>
  <c r="J55" i="20" s="1"/>
  <c r="AB142" i="31"/>
  <c r="AC142" i="31"/>
  <c r="K55" i="20" s="1"/>
  <c r="AA138" i="31"/>
  <c r="J54" i="20" s="1"/>
  <c r="AB138" i="31"/>
  <c r="AC138" i="31"/>
  <c r="K54" i="20" s="1"/>
  <c r="AA134" i="31"/>
  <c r="J73" i="20" s="1"/>
  <c r="AB134" i="31"/>
  <c r="AC134" i="31"/>
  <c r="K73" i="20" s="1"/>
  <c r="AA130" i="31"/>
  <c r="J53" i="20" s="1"/>
  <c r="AB130" i="31"/>
  <c r="AC130" i="31"/>
  <c r="K53" i="20" s="1"/>
  <c r="AA126" i="31"/>
  <c r="J61" i="20" s="1"/>
  <c r="AB126" i="31"/>
  <c r="AC126" i="31"/>
  <c r="K61" i="20" s="1"/>
  <c r="AA122" i="31"/>
  <c r="J80" i="20" s="1"/>
  <c r="AB122" i="31"/>
  <c r="AC122" i="31"/>
  <c r="K80" i="20" s="1"/>
  <c r="AA118" i="31"/>
  <c r="J84" i="20" s="1"/>
  <c r="AB118" i="31"/>
  <c r="AC118" i="31"/>
  <c r="K84" i="20" s="1"/>
  <c r="AA114" i="31"/>
  <c r="J71" i="20" s="1"/>
  <c r="AC114" i="31"/>
  <c r="K71" i="20" s="1"/>
  <c r="AB114" i="31"/>
  <c r="AC109" i="31"/>
  <c r="K17" i="20" s="1"/>
  <c r="AE109" i="31"/>
  <c r="M17" i="20" s="1"/>
  <c r="N17" i="20" s="1"/>
  <c r="AA109" i="31"/>
  <c r="J17" i="20" s="1"/>
  <c r="AB109" i="31"/>
  <c r="AC105" i="31"/>
  <c r="K32" i="20" s="1"/>
  <c r="AE105" i="31"/>
  <c r="M32" i="20" s="1"/>
  <c r="N32" i="20" s="1"/>
  <c r="AA105" i="31"/>
  <c r="J32" i="20" s="1"/>
  <c r="AB105" i="31"/>
  <c r="AC101" i="31"/>
  <c r="K25" i="20" s="1"/>
  <c r="AE101" i="31"/>
  <c r="M25" i="20" s="1"/>
  <c r="N25" i="20" s="1"/>
  <c r="AA101" i="31"/>
  <c r="J25" i="20" s="1"/>
  <c r="AB101" i="31"/>
  <c r="AB97" i="31"/>
  <c r="AC97" i="31"/>
  <c r="K31" i="20" s="1"/>
  <c r="AA97" i="31"/>
  <c r="J31" i="20" s="1"/>
  <c r="AE97" i="31"/>
  <c r="M31" i="20" s="1"/>
  <c r="N31" i="20" s="1"/>
  <c r="AB93" i="31"/>
  <c r="AC93" i="31"/>
  <c r="K20" i="20" s="1"/>
  <c r="AA93" i="31"/>
  <c r="J20" i="20" s="1"/>
  <c r="AE93" i="31"/>
  <c r="M20" i="20" s="1"/>
  <c r="N20" i="20" s="1"/>
  <c r="AB89" i="31"/>
  <c r="AC89" i="31"/>
  <c r="K46" i="20" s="1"/>
  <c r="AA89" i="31"/>
  <c r="J46" i="20" s="1"/>
  <c r="AE89" i="31"/>
  <c r="M46" i="20" s="1"/>
  <c r="N46" i="20" s="1"/>
  <c r="AB85" i="31"/>
  <c r="AC85" i="31"/>
  <c r="K11" i="20" s="1"/>
  <c r="AA85" i="31"/>
  <c r="J11" i="20" s="1"/>
  <c r="AE85" i="31"/>
  <c r="M11" i="20" s="1"/>
  <c r="N11" i="20" s="1"/>
  <c r="AB81" i="31"/>
  <c r="AC81" i="31"/>
  <c r="K27" i="20" s="1"/>
  <c r="AA81" i="31"/>
  <c r="J27" i="20" s="1"/>
  <c r="AE81" i="31"/>
  <c r="M27" i="20" s="1"/>
  <c r="N27" i="20" s="1"/>
  <c r="AB77" i="31"/>
  <c r="AC77" i="31"/>
  <c r="K30" i="20" s="1"/>
  <c r="AA77" i="31"/>
  <c r="J30" i="20" s="1"/>
  <c r="AE77" i="31"/>
  <c r="M30" i="20" s="1"/>
  <c r="N30" i="20" s="1"/>
  <c r="AB73" i="31"/>
  <c r="AC73" i="31"/>
  <c r="K48" i="20" s="1"/>
  <c r="AA73" i="31"/>
  <c r="J48" i="20" s="1"/>
  <c r="AE73" i="31"/>
  <c r="M48" i="20" s="1"/>
  <c r="N48" i="20" s="1"/>
  <c r="AB69" i="31"/>
  <c r="AC69" i="31"/>
  <c r="AA69" i="31"/>
  <c r="AE69" i="31"/>
  <c r="AC61" i="31"/>
  <c r="AE61" i="31"/>
  <c r="AA61" i="31"/>
  <c r="AB61" i="31"/>
  <c r="AC57" i="31"/>
  <c r="AE57" i="31"/>
  <c r="AA57" i="31"/>
  <c r="AB57" i="31"/>
  <c r="AC53" i="31"/>
  <c r="AE53" i="31"/>
  <c r="AA53" i="31"/>
  <c r="AB53" i="31"/>
  <c r="AC49" i="31"/>
  <c r="AE49" i="31"/>
  <c r="AA49" i="31"/>
  <c r="AB49" i="31"/>
  <c r="AC45" i="31"/>
  <c r="AE45" i="31"/>
  <c r="AA45" i="31"/>
  <c r="AB45" i="31"/>
  <c r="AC41" i="31"/>
  <c r="AE41" i="31"/>
  <c r="AA41" i="31"/>
  <c r="AB41" i="31"/>
  <c r="AC37" i="31"/>
  <c r="AE37" i="31"/>
  <c r="AA37" i="31"/>
  <c r="AB37" i="31"/>
  <c r="AC33" i="31"/>
  <c r="AE33" i="31"/>
  <c r="AA33" i="31"/>
  <c r="AB33" i="31"/>
  <c r="AC29" i="31"/>
  <c r="AB29" i="31"/>
  <c r="AA29" i="31"/>
  <c r="AE29" i="31"/>
  <c r="AB148" i="31"/>
  <c r="AC148" i="31"/>
  <c r="K74" i="20" s="1"/>
  <c r="AA148" i="31"/>
  <c r="J74" i="20" s="1"/>
  <c r="AB140" i="31"/>
  <c r="AC140" i="31"/>
  <c r="K65" i="20" s="1"/>
  <c r="AA140" i="31"/>
  <c r="J65" i="20" s="1"/>
  <c r="AB132" i="31"/>
  <c r="AC132" i="31"/>
  <c r="K69" i="20" s="1"/>
  <c r="AA132" i="31"/>
  <c r="J69" i="20" s="1"/>
  <c r="AB120" i="31"/>
  <c r="AC120" i="31"/>
  <c r="AA120" i="31"/>
  <c r="AB116" i="31"/>
  <c r="AC116" i="31"/>
  <c r="K68" i="20" s="1"/>
  <c r="AA116" i="31"/>
  <c r="J68" i="20" s="1"/>
  <c r="AA107" i="31"/>
  <c r="J47" i="20" s="1"/>
  <c r="AE107" i="31"/>
  <c r="M47" i="20" s="1"/>
  <c r="N47" i="20" s="1"/>
  <c r="AB107" i="31"/>
  <c r="AC107" i="31"/>
  <c r="K47" i="20" s="1"/>
  <c r="AA99" i="31"/>
  <c r="J45" i="20" s="1"/>
  <c r="AE99" i="31"/>
  <c r="M45" i="20" s="1"/>
  <c r="N45" i="20" s="1"/>
  <c r="AB99" i="31"/>
  <c r="AC99" i="31"/>
  <c r="K45" i="20" s="1"/>
  <c r="AA91" i="31"/>
  <c r="J42" i="20" s="1"/>
  <c r="AE91" i="31"/>
  <c r="M42" i="20" s="1"/>
  <c r="N42" i="20" s="1"/>
  <c r="AB91" i="31"/>
  <c r="AC91" i="31"/>
  <c r="K42" i="20" s="1"/>
  <c r="AA83" i="31"/>
  <c r="J35" i="20" s="1"/>
  <c r="AE83" i="31"/>
  <c r="M35" i="20" s="1"/>
  <c r="N35" i="20" s="1"/>
  <c r="AB83" i="31"/>
  <c r="AC83" i="31"/>
  <c r="K35" i="20" s="1"/>
  <c r="AA75" i="31"/>
  <c r="J15" i="20" s="1"/>
  <c r="AE75" i="31"/>
  <c r="M15" i="20" s="1"/>
  <c r="N15" i="20" s="1"/>
  <c r="AB75" i="31"/>
  <c r="AC75" i="31"/>
  <c r="K15" i="20" s="1"/>
  <c r="AA71" i="31"/>
  <c r="J13" i="20" s="1"/>
  <c r="AE71" i="31"/>
  <c r="M13" i="20" s="1"/>
  <c r="AB71" i="31"/>
  <c r="AA67" i="31"/>
  <c r="J43" i="20" s="1"/>
  <c r="AE67" i="31"/>
  <c r="M43" i="20" s="1"/>
  <c r="N43" i="20" s="1"/>
  <c r="AB67" i="31"/>
  <c r="AC67" i="31"/>
  <c r="K43" i="20" s="1"/>
  <c r="AA59" i="31"/>
  <c r="AE59" i="31"/>
  <c r="AB59" i="31"/>
  <c r="AC59" i="31"/>
  <c r="AA51" i="31"/>
  <c r="AE51" i="31"/>
  <c r="AB51" i="31"/>
  <c r="AC51" i="31"/>
  <c r="AA43" i="31"/>
  <c r="AE43" i="31"/>
  <c r="AB43" i="31"/>
  <c r="AC43" i="31"/>
  <c r="AA39" i="31"/>
  <c r="AE39" i="31"/>
  <c r="AB39" i="31"/>
  <c r="AC39" i="31"/>
  <c r="AA35" i="31"/>
  <c r="AE35" i="31"/>
  <c r="AB35" i="31"/>
  <c r="AC35" i="31"/>
  <c r="AA31" i="31"/>
  <c r="AE31" i="31"/>
  <c r="AB31" i="31"/>
  <c r="AC31" i="31"/>
  <c r="AC147" i="31"/>
  <c r="K66" i="20" s="1"/>
  <c r="AA147" i="31"/>
  <c r="J66" i="20" s="1"/>
  <c r="AB147" i="31"/>
  <c r="AC139" i="31"/>
  <c r="K63" i="20" s="1"/>
  <c r="AA139" i="31"/>
  <c r="J63" i="20" s="1"/>
  <c r="AB139" i="31"/>
  <c r="AC131" i="31"/>
  <c r="K59" i="20" s="1"/>
  <c r="AA131" i="31"/>
  <c r="J59" i="20" s="1"/>
  <c r="AB131" i="31"/>
  <c r="AC123" i="31"/>
  <c r="K83" i="20" s="1"/>
  <c r="AA123" i="31"/>
  <c r="J83" i="20" s="1"/>
  <c r="AB123" i="31"/>
  <c r="AC115" i="31"/>
  <c r="K70" i="20" s="1"/>
  <c r="AA115" i="31"/>
  <c r="J70" i="20" s="1"/>
  <c r="AB115" i="31"/>
  <c r="AB110" i="31"/>
  <c r="AE110" i="31"/>
  <c r="M33" i="20" s="1"/>
  <c r="N33" i="20" s="1"/>
  <c r="AA110" i="31"/>
  <c r="J33" i="20" s="1"/>
  <c r="AC110" i="31"/>
  <c r="K33" i="20" s="1"/>
  <c r="AB106" i="31"/>
  <c r="AE106" i="31"/>
  <c r="M21" i="20" s="1"/>
  <c r="N21" i="20" s="1"/>
  <c r="AA106" i="31"/>
  <c r="J21" i="20" s="1"/>
  <c r="AC106" i="31"/>
  <c r="K21" i="20" s="1"/>
  <c r="AA98" i="31"/>
  <c r="J41" i="20" s="1"/>
  <c r="AE98" i="31"/>
  <c r="M41" i="20" s="1"/>
  <c r="N41" i="20" s="1"/>
  <c r="AB98" i="31"/>
  <c r="AC98" i="31"/>
  <c r="K41" i="20" s="1"/>
  <c r="AA70" i="31"/>
  <c r="J24" i="20" s="1"/>
  <c r="AE70" i="31"/>
  <c r="M24" i="20" s="1"/>
  <c r="N24" i="20" s="1"/>
  <c r="AB70" i="31"/>
  <c r="AC70" i="31"/>
  <c r="K24" i="20" s="1"/>
  <c r="AB62" i="31"/>
  <c r="AC62" i="31"/>
  <c r="AE62" i="31"/>
  <c r="AA62" i="31"/>
  <c r="AC66" i="31"/>
  <c r="AA66" i="31"/>
  <c r="AE66" i="31"/>
  <c r="AB66" i="31"/>
  <c r="AA145" i="31"/>
  <c r="J75" i="20" s="1"/>
  <c r="AB145" i="31"/>
  <c r="AC145" i="31"/>
  <c r="K75" i="20" s="1"/>
  <c r="AA141" i="31"/>
  <c r="J81" i="20" s="1"/>
  <c r="AB141" i="31"/>
  <c r="AC141" i="31"/>
  <c r="K81" i="20" s="1"/>
  <c r="AA137" i="31"/>
  <c r="J79" i="20" s="1"/>
  <c r="AB137" i="31"/>
  <c r="AC137" i="31"/>
  <c r="K79" i="20" s="1"/>
  <c r="AA133" i="31"/>
  <c r="J60" i="20" s="1"/>
  <c r="AB133" i="31"/>
  <c r="AC133" i="31"/>
  <c r="K60" i="20" s="1"/>
  <c r="AA129" i="31"/>
  <c r="J78" i="20" s="1"/>
  <c r="AB129" i="31"/>
  <c r="AC129" i="31"/>
  <c r="K78" i="20" s="1"/>
  <c r="AA125" i="31"/>
  <c r="J58" i="20" s="1"/>
  <c r="AB125" i="31"/>
  <c r="AC125" i="31"/>
  <c r="K58" i="20" s="1"/>
  <c r="AA121" i="31"/>
  <c r="J82" i="20" s="1"/>
  <c r="AB121" i="31"/>
  <c r="AC121" i="31"/>
  <c r="K82" i="20" s="1"/>
  <c r="AA117" i="31"/>
  <c r="AB117" i="31"/>
  <c r="AC117" i="31"/>
  <c r="AA112" i="31"/>
  <c r="J52" i="20" s="1"/>
  <c r="AE112" i="31"/>
  <c r="M52" i="20" s="1"/>
  <c r="N52" i="20" s="1"/>
  <c r="AB112" i="31"/>
  <c r="AC112" i="31"/>
  <c r="K52" i="20" s="1"/>
  <c r="AA108" i="31"/>
  <c r="J37" i="20" s="1"/>
  <c r="AE108" i="31"/>
  <c r="M37" i="20" s="1"/>
  <c r="N37" i="20" s="1"/>
  <c r="AB108" i="31"/>
  <c r="AC108" i="31"/>
  <c r="K37" i="20" s="1"/>
  <c r="AA104" i="31"/>
  <c r="J28" i="20" s="1"/>
  <c r="AE104" i="31"/>
  <c r="M28" i="20" s="1"/>
  <c r="N28" i="20" s="1"/>
  <c r="AB104" i="31"/>
  <c r="AC104" i="31"/>
  <c r="K28" i="20" s="1"/>
  <c r="AC100" i="31"/>
  <c r="K34" i="20" s="1"/>
  <c r="AE100" i="31"/>
  <c r="M34" i="20" s="1"/>
  <c r="N34" i="20" s="1"/>
  <c r="AA100" i="31"/>
  <c r="J34" i="20" s="1"/>
  <c r="AB100" i="31"/>
  <c r="AC96" i="31"/>
  <c r="K12" i="20" s="1"/>
  <c r="AE96" i="31"/>
  <c r="M12" i="20" s="1"/>
  <c r="N12" i="20" s="1"/>
  <c r="AA96" i="31"/>
  <c r="J12" i="20" s="1"/>
  <c r="AB96" i="31"/>
  <c r="AC92" i="31"/>
  <c r="K29" i="20" s="1"/>
  <c r="AE92" i="31"/>
  <c r="M29" i="20" s="1"/>
  <c r="N29" i="20" s="1"/>
  <c r="AA92" i="31"/>
  <c r="J29" i="20" s="1"/>
  <c r="AB92" i="31"/>
  <c r="AC88" i="31"/>
  <c r="K50" i="20" s="1"/>
  <c r="AE88" i="31"/>
  <c r="M50" i="20" s="1"/>
  <c r="N50" i="20" s="1"/>
  <c r="AA88" i="31"/>
  <c r="J50" i="20" s="1"/>
  <c r="AB88" i="31"/>
  <c r="AC84" i="31"/>
  <c r="K38" i="20" s="1"/>
  <c r="AE84" i="31"/>
  <c r="M38" i="20" s="1"/>
  <c r="N38" i="20" s="1"/>
  <c r="AA84" i="31"/>
  <c r="J38" i="20" s="1"/>
  <c r="AB84" i="31"/>
  <c r="AC80" i="31"/>
  <c r="K18" i="20" s="1"/>
  <c r="AE80" i="31"/>
  <c r="M18" i="20" s="1"/>
  <c r="N18" i="20" s="1"/>
  <c r="AA80" i="31"/>
  <c r="J18" i="20" s="1"/>
  <c r="AB80" i="31"/>
  <c r="AC76" i="31"/>
  <c r="K14" i="20" s="1"/>
  <c r="AE76" i="31"/>
  <c r="M14" i="20" s="1"/>
  <c r="N14" i="20" s="1"/>
  <c r="AA76" i="31"/>
  <c r="J14" i="20" s="1"/>
  <c r="AB76" i="31"/>
  <c r="AC72" i="31"/>
  <c r="AE72" i="31"/>
  <c r="AA72" i="31"/>
  <c r="AB72" i="31"/>
  <c r="AC68" i="31"/>
  <c r="K10" i="20" s="1"/>
  <c r="AE68" i="31"/>
  <c r="M10" i="20" s="1"/>
  <c r="AA68" i="31"/>
  <c r="J10" i="20" s="1"/>
  <c r="AB68" i="31"/>
  <c r="AA64" i="31"/>
  <c r="AE64" i="31"/>
  <c r="AC64" i="31"/>
  <c r="AB64" i="31"/>
  <c r="AA60" i="31"/>
  <c r="AE60" i="31"/>
  <c r="AC60" i="31"/>
  <c r="AB60" i="31"/>
  <c r="AA56" i="31"/>
  <c r="AE56" i="31"/>
  <c r="AC56" i="31"/>
  <c r="AB56" i="31"/>
  <c r="AA52" i="31"/>
  <c r="AE52" i="31"/>
  <c r="AC52" i="31"/>
  <c r="AB52" i="31"/>
  <c r="AA48" i="31"/>
  <c r="AE48" i="31"/>
  <c r="AC48" i="31"/>
  <c r="AB48" i="31"/>
  <c r="AA44" i="31"/>
  <c r="AE44" i="31"/>
  <c r="AC44" i="31"/>
  <c r="AB44" i="31"/>
  <c r="AA40" i="31"/>
  <c r="AE40" i="31"/>
  <c r="AC40" i="31"/>
  <c r="AB40" i="31"/>
  <c r="AA36" i="31"/>
  <c r="AE36" i="31"/>
  <c r="AC36" i="31"/>
  <c r="AB36" i="31"/>
  <c r="AA32" i="31"/>
  <c r="AE32" i="31"/>
  <c r="AC32" i="31"/>
  <c r="AB32" i="31"/>
  <c r="P288" i="36"/>
  <c r="V113" i="31"/>
  <c r="Z113" i="31" s="1"/>
  <c r="Q32" i="36"/>
  <c r="J10" i="36"/>
  <c r="H152" i="36"/>
  <c r="Q35" i="36"/>
  <c r="N179" i="36"/>
  <c r="J179" i="36"/>
  <c r="P179" i="36"/>
  <c r="J188" i="36"/>
  <c r="I184" i="36"/>
  <c r="P191" i="36"/>
  <c r="K184" i="36"/>
  <c r="P256" i="36"/>
  <c r="Q259" i="36"/>
  <c r="Q298" i="36"/>
  <c r="Q309" i="36"/>
  <c r="J308" i="36"/>
  <c r="J156" i="36"/>
  <c r="K171" i="36"/>
  <c r="K170" i="36" s="1"/>
  <c r="Q180" i="36"/>
  <c r="N180" i="36"/>
  <c r="Q182" i="36"/>
  <c r="P188" i="36"/>
  <c r="Q191" i="36"/>
  <c r="Q220" i="36"/>
  <c r="Q222" i="36"/>
  <c r="P238" i="36"/>
  <c r="K236" i="36"/>
  <c r="P236" i="36" s="1"/>
  <c r="L256" i="36"/>
  <c r="J284" i="36"/>
  <c r="G284" i="36"/>
  <c r="G255" i="36" s="1"/>
  <c r="P285" i="36"/>
  <c r="I284" i="36"/>
  <c r="K284" i="36"/>
  <c r="K255" i="36" s="1"/>
  <c r="J302" i="36"/>
  <c r="Q302" i="36" s="1"/>
  <c r="P303" i="36"/>
  <c r="I302" i="36"/>
  <c r="K308" i="36"/>
  <c r="K297" i="36" s="1"/>
  <c r="N23" i="21" l="1"/>
  <c r="K9" i="21"/>
  <c r="K8" i="21" s="1"/>
  <c r="J9" i="21"/>
  <c r="J8" i="21" s="1"/>
  <c r="N10" i="21"/>
  <c r="J14" i="29"/>
  <c r="J9" i="29"/>
  <c r="L14" i="29"/>
  <c r="I9" i="29"/>
  <c r="I8" i="29" s="1"/>
  <c r="L9" i="29"/>
  <c r="G9" i="36"/>
  <c r="P308" i="36"/>
  <c r="G297" i="36"/>
  <c r="H10" i="36"/>
  <c r="M10" i="1"/>
  <c r="M16" i="29"/>
  <c r="M12" i="29"/>
  <c r="M15" i="29"/>
  <c r="M13" i="29"/>
  <c r="M10" i="29"/>
  <c r="M11" i="29"/>
  <c r="I106" i="20"/>
  <c r="L9" i="9"/>
  <c r="M10" i="9"/>
  <c r="M8" i="9" s="1"/>
  <c r="Z271" i="31"/>
  <c r="Z257" i="31" s="1"/>
  <c r="V257" i="31"/>
  <c r="H297" i="36"/>
  <c r="N10" i="20"/>
  <c r="H9" i="36"/>
  <c r="AE173" i="31"/>
  <c r="AD149" i="31"/>
  <c r="L108" i="20"/>
  <c r="N13" i="20"/>
  <c r="I9" i="20"/>
  <c r="I8" i="20" s="1"/>
  <c r="J9" i="20"/>
  <c r="J8" i="20" s="1"/>
  <c r="AE185" i="31"/>
  <c r="AE184" i="31"/>
  <c r="AD180" i="31"/>
  <c r="Z355" i="31"/>
  <c r="V27" i="31"/>
  <c r="Z27" i="31"/>
  <c r="I10" i="36"/>
  <c r="AE271" i="31"/>
  <c r="AE257" i="31" s="1"/>
  <c r="AC271" i="31"/>
  <c r="AC257" i="31" s="1"/>
  <c r="Q308" i="36"/>
  <c r="P284" i="36"/>
  <c r="P302" i="36"/>
  <c r="I297" i="36"/>
  <c r="P297" i="36" s="1"/>
  <c r="Q236" i="36"/>
  <c r="K152" i="36"/>
  <c r="K9" i="36" s="1"/>
  <c r="I255" i="36"/>
  <c r="P255" i="36" s="1"/>
  <c r="Q188" i="36"/>
  <c r="J184" i="36"/>
  <c r="Q184" i="36" s="1"/>
  <c r="Q179" i="36"/>
  <c r="J171" i="36"/>
  <c r="P171" i="36"/>
  <c r="P170" i="36"/>
  <c r="Q284" i="36"/>
  <c r="J255" i="36"/>
  <c r="Q255" i="36" s="1"/>
  <c r="Q156" i="36"/>
  <c r="J297" i="36"/>
  <c r="Q297" i="36" s="1"/>
  <c r="P184" i="36"/>
  <c r="I152" i="36"/>
  <c r="D20" i="30" l="1"/>
  <c r="M14" i="29"/>
  <c r="M9" i="29"/>
  <c r="J8" i="29"/>
  <c r="L8" i="29"/>
  <c r="D27" i="30"/>
  <c r="AB271" i="31"/>
  <c r="AB257" i="31" s="1"/>
  <c r="AA271" i="31"/>
  <c r="AA257" i="31" s="1"/>
  <c r="L106" i="20"/>
  <c r="L8" i="20" s="1"/>
  <c r="D28" i="30"/>
  <c r="D30" i="30"/>
  <c r="D31" i="30"/>
  <c r="D29" i="30"/>
  <c r="D32" i="30"/>
  <c r="M9" i="9"/>
  <c r="AE355" i="31"/>
  <c r="Z320" i="31"/>
  <c r="AE149" i="31"/>
  <c r="M108" i="20"/>
  <c r="AB355" i="31"/>
  <c r="AB320" i="31" s="1"/>
  <c r="AC355" i="31"/>
  <c r="L11" i="28" s="1"/>
  <c r="AA355" i="31"/>
  <c r="K11" i="28" s="1"/>
  <c r="AE180" i="31"/>
  <c r="N11" i="28"/>
  <c r="P152" i="36"/>
  <c r="I9" i="36"/>
  <c r="J170" i="36"/>
  <c r="Q171" i="36"/>
  <c r="M8" i="29" l="1"/>
  <c r="M106" i="20"/>
  <c r="N108" i="20"/>
  <c r="O11" i="28"/>
  <c r="Q170" i="36"/>
  <c r="J152" i="36"/>
  <c r="D26" i="30" l="1"/>
  <c r="N106" i="20"/>
  <c r="Q152" i="36"/>
  <c r="J9" i="36"/>
  <c r="AC23" i="31" l="1"/>
  <c r="AA23" i="31"/>
  <c r="P23" i="31"/>
  <c r="N23" i="31"/>
  <c r="N12" i="31"/>
  <c r="AD14" i="31" l="1"/>
  <c r="AH7" i="31"/>
  <c r="AE301" i="31"/>
  <c r="AD301" i="31"/>
  <c r="AC301" i="31"/>
  <c r="AB301" i="31"/>
  <c r="AA301" i="31"/>
  <c r="AD290" i="31"/>
  <c r="AD289" i="31" s="1"/>
  <c r="AB290" i="31"/>
  <c r="AC282" i="31"/>
  <c r="AE247" i="31"/>
  <c r="AC247" i="31"/>
  <c r="AB247" i="31"/>
  <c r="AA247" i="31"/>
  <c r="AD218" i="31"/>
  <c r="AD113" i="31"/>
  <c r="AC113" i="31"/>
  <c r="AB113" i="31"/>
  <c r="AA113" i="31"/>
  <c r="AE65" i="31"/>
  <c r="AD65" i="31"/>
  <c r="AB65" i="31"/>
  <c r="AA65" i="31"/>
  <c r="AE28" i="31"/>
  <c r="AD28" i="31"/>
  <c r="AC28" i="31"/>
  <c r="AB28" i="31"/>
  <c r="AD27" i="31" l="1"/>
  <c r="AB289" i="31"/>
  <c r="AD12" i="31"/>
  <c r="AB218" i="31"/>
  <c r="AE14" i="31"/>
  <c r="AA218" i="31"/>
  <c r="AC218" i="31"/>
  <c r="AB27" i="31"/>
  <c r="S71" i="31"/>
  <c r="AC71" i="31" s="1"/>
  <c r="AC65" i="31" l="1"/>
  <c r="AC27" i="31" s="1"/>
  <c r="K13" i="20"/>
  <c r="S308" i="31"/>
  <c r="AC308" i="31" s="1"/>
  <c r="AC307" i="31" s="1"/>
  <c r="Q308" i="31"/>
  <c r="AA308" i="31" s="1"/>
  <c r="AA307" i="31" s="1"/>
  <c r="K9" i="20" l="1"/>
  <c r="K8" i="20" s="1"/>
  <c r="Q370" i="31"/>
  <c r="AA370" i="31" s="1"/>
  <c r="K29" i="28" s="1"/>
  <c r="S370" i="31" l="1"/>
  <c r="AC370" i="31" s="1"/>
  <c r="L29" i="28" s="1"/>
  <c r="U387" i="31" l="1"/>
  <c r="AE387" i="31" s="1"/>
  <c r="N27" i="28" s="1"/>
  <c r="O27" i="28" s="1"/>
  <c r="U385" i="31"/>
  <c r="AE385" i="31" s="1"/>
  <c r="N26" i="28" s="1"/>
  <c r="O26" i="28" s="1"/>
  <c r="U384" i="31"/>
  <c r="AE384" i="31" s="1"/>
  <c r="U136" i="31"/>
  <c r="AE136" i="31" s="1"/>
  <c r="M64" i="20" s="1"/>
  <c r="N64" i="20" s="1"/>
  <c r="U137" i="31"/>
  <c r="AE137" i="31" s="1"/>
  <c r="M79" i="20" s="1"/>
  <c r="N79" i="20" s="1"/>
  <c r="U138" i="31"/>
  <c r="AE138" i="31" s="1"/>
  <c r="M54" i="20" s="1"/>
  <c r="N54" i="20" s="1"/>
  <c r="U139" i="31"/>
  <c r="AE139" i="31" s="1"/>
  <c r="M63" i="20" s="1"/>
  <c r="N63" i="20" s="1"/>
  <c r="U140" i="31"/>
  <c r="AE140" i="31" s="1"/>
  <c r="M65" i="20" s="1"/>
  <c r="N65" i="20" s="1"/>
  <c r="U141" i="31"/>
  <c r="AE141" i="31" s="1"/>
  <c r="M81" i="20" s="1"/>
  <c r="N81" i="20" s="1"/>
  <c r="U142" i="31"/>
  <c r="AE142" i="31" s="1"/>
  <c r="M55" i="20" s="1"/>
  <c r="N55" i="20" s="1"/>
  <c r="U143" i="31"/>
  <c r="AE143" i="31" s="1"/>
  <c r="M85" i="20" s="1"/>
  <c r="N85" i="20" s="1"/>
  <c r="U144" i="31"/>
  <c r="AE144" i="31" s="1"/>
  <c r="M72" i="20" s="1"/>
  <c r="N72" i="20" s="1"/>
  <c r="U145" i="31"/>
  <c r="AE145" i="31" s="1"/>
  <c r="M75" i="20" s="1"/>
  <c r="N75" i="20" s="1"/>
  <c r="U146" i="31"/>
  <c r="AE146" i="31" s="1"/>
  <c r="M62" i="20" s="1"/>
  <c r="N62" i="20" s="1"/>
  <c r="U147" i="31"/>
  <c r="AE147" i="31" s="1"/>
  <c r="M66" i="20" s="1"/>
  <c r="N66" i="20" s="1"/>
  <c r="U148" i="31"/>
  <c r="AE148" i="31" s="1"/>
  <c r="M74" i="20" s="1"/>
  <c r="N74" i="20" s="1"/>
  <c r="U135" i="31"/>
  <c r="AE135" i="31" s="1"/>
  <c r="M76" i="20" s="1"/>
  <c r="N76" i="20" s="1"/>
  <c r="U117" i="31"/>
  <c r="AE117" i="31" s="1"/>
  <c r="U118" i="31"/>
  <c r="AE118" i="31" s="1"/>
  <c r="M84" i="20" s="1"/>
  <c r="N84" i="20" s="1"/>
  <c r="U119" i="31"/>
  <c r="AE119" i="31" s="1"/>
  <c r="M67" i="20" s="1"/>
  <c r="N67" i="20" s="1"/>
  <c r="U120" i="31"/>
  <c r="AE120" i="31" s="1"/>
  <c r="U121" i="31"/>
  <c r="AE121" i="31" s="1"/>
  <c r="M82" i="20" s="1"/>
  <c r="N82" i="20" s="1"/>
  <c r="U122" i="31"/>
  <c r="AE122" i="31" s="1"/>
  <c r="M80" i="20" s="1"/>
  <c r="N80" i="20" s="1"/>
  <c r="U123" i="31"/>
  <c r="AE123" i="31" s="1"/>
  <c r="M83" i="20" s="1"/>
  <c r="N83" i="20" s="1"/>
  <c r="U124" i="31"/>
  <c r="AE124" i="31" s="1"/>
  <c r="M57" i="20" s="1"/>
  <c r="N57" i="20" s="1"/>
  <c r="U125" i="31"/>
  <c r="AE125" i="31" s="1"/>
  <c r="M58" i="20" s="1"/>
  <c r="N58" i="20" s="1"/>
  <c r="U126" i="31"/>
  <c r="AE126" i="31" s="1"/>
  <c r="M61" i="20" s="1"/>
  <c r="N61" i="20" s="1"/>
  <c r="U127" i="31"/>
  <c r="AE127" i="31" s="1"/>
  <c r="M56" i="20" s="1"/>
  <c r="N56" i="20" s="1"/>
  <c r="U128" i="31"/>
  <c r="AE128" i="31" s="1"/>
  <c r="M77" i="20" s="1"/>
  <c r="N77" i="20" s="1"/>
  <c r="U129" i="31"/>
  <c r="AE129" i="31" s="1"/>
  <c r="M78" i="20" s="1"/>
  <c r="N78" i="20" s="1"/>
  <c r="U130" i="31"/>
  <c r="AE130" i="31" s="1"/>
  <c r="M53" i="20" s="1"/>
  <c r="U131" i="31"/>
  <c r="AE131" i="31" s="1"/>
  <c r="M59" i="20" s="1"/>
  <c r="N59" i="20" s="1"/>
  <c r="U132" i="31"/>
  <c r="AE132" i="31" s="1"/>
  <c r="M69" i="20" s="1"/>
  <c r="N69" i="20" s="1"/>
  <c r="U133" i="31"/>
  <c r="AE133" i="31" s="1"/>
  <c r="M60" i="20" s="1"/>
  <c r="N60" i="20" s="1"/>
  <c r="U114" i="31"/>
  <c r="AE114" i="31" s="1"/>
  <c r="M71" i="20" s="1"/>
  <c r="N71" i="20" s="1"/>
  <c r="U115" i="31"/>
  <c r="AE115" i="31" s="1"/>
  <c r="M70" i="20" s="1"/>
  <c r="N70" i="20" s="1"/>
  <c r="U116" i="31"/>
  <c r="AE116" i="31" s="1"/>
  <c r="M68" i="20" s="1"/>
  <c r="N68" i="20" s="1"/>
  <c r="U134" i="31"/>
  <c r="AE134" i="31" s="1"/>
  <c r="M73" i="20" s="1"/>
  <c r="N73" i="20" s="1"/>
  <c r="U228" i="31"/>
  <c r="AE228" i="31" s="1"/>
  <c r="M15" i="21" s="1"/>
  <c r="N15" i="21" s="1"/>
  <c r="U229" i="31"/>
  <c r="AE229" i="31" s="1"/>
  <c r="M13" i="21" s="1"/>
  <c r="N13" i="21" s="1"/>
  <c r="U227" i="31"/>
  <c r="AE227" i="31" s="1"/>
  <c r="M12" i="21" s="1"/>
  <c r="N12" i="21" s="1"/>
  <c r="U226" i="31"/>
  <c r="AE226" i="31" l="1"/>
  <c r="N53" i="20"/>
  <c r="M9" i="20"/>
  <c r="M8" i="20" s="1"/>
  <c r="N28" i="28"/>
  <c r="O28" i="28" s="1"/>
  <c r="AE113" i="31"/>
  <c r="AE27" i="31" s="1"/>
  <c r="R9" i="12"/>
  <c r="M11" i="21" l="1"/>
  <c r="M9" i="21" s="1"/>
  <c r="M8" i="21" s="1"/>
  <c r="N9" i="20"/>
  <c r="N8" i="20" s="1"/>
  <c r="N11" i="21" l="1"/>
  <c r="C13" i="34"/>
  <c r="U391" i="31"/>
  <c r="U376" i="31" s="1"/>
  <c r="N9" i="21" l="1"/>
  <c r="N8" i="21" s="1"/>
  <c r="AE391" i="31"/>
  <c r="AE376" i="31" s="1"/>
  <c r="D13" i="30" l="1"/>
  <c r="F13" i="30" s="1"/>
  <c r="Q356" i="31"/>
  <c r="AA356" i="31" s="1"/>
  <c r="K18" i="28" s="1"/>
  <c r="K9" i="28" s="1"/>
  <c r="K8" i="28" s="1"/>
  <c r="U356" i="31"/>
  <c r="AE356" i="31" l="1"/>
  <c r="AE320" i="31" s="1"/>
  <c r="U320" i="31"/>
  <c r="N18" i="28"/>
  <c r="N9" i="28" s="1"/>
  <c r="N8" i="28" s="1"/>
  <c r="S356" i="31"/>
  <c r="O18" i="28" l="1"/>
  <c r="AC356" i="31"/>
  <c r="L18" i="28" s="1"/>
  <c r="L9" i="28" s="1"/>
  <c r="L8" i="28" s="1"/>
  <c r="F18" i="30"/>
  <c r="O9" i="28" l="1"/>
  <c r="O8" i="28" s="1"/>
  <c r="AI41" i="31"/>
  <c r="AI42" i="31"/>
  <c r="Q42" i="31"/>
  <c r="AA42" i="31" s="1"/>
  <c r="AA28" i="31" s="1"/>
  <c r="AA27" i="31" s="1"/>
  <c r="D10" i="34"/>
  <c r="E7" i="32"/>
  <c r="E8" i="32"/>
  <c r="E10" i="32"/>
  <c r="E11" i="32"/>
  <c r="E12" i="32"/>
  <c r="E13" i="32"/>
  <c r="E9" i="32" l="1"/>
  <c r="E6" i="32"/>
  <c r="C10" i="34"/>
  <c r="E18" i="32"/>
  <c r="E23" i="32"/>
  <c r="E22" i="32"/>
  <c r="E17" i="32"/>
  <c r="O301" i="31"/>
  <c r="P301" i="31"/>
  <c r="Q301" i="31"/>
  <c r="R301" i="31"/>
  <c r="S301" i="31"/>
  <c r="T301" i="31"/>
  <c r="U301" i="31"/>
  <c r="N301" i="31"/>
  <c r="N320" i="31"/>
  <c r="E5" i="32" l="1"/>
  <c r="E21" i="32"/>
  <c r="C12" i="34"/>
  <c r="C11" i="34"/>
  <c r="E19" i="32"/>
  <c r="AH345" i="31" l="1"/>
  <c r="T251" i="31" l="1"/>
  <c r="T222" i="31" l="1"/>
  <c r="T290" i="31" l="1"/>
  <c r="T113" i="31"/>
  <c r="T65" i="31"/>
  <c r="T219" i="31" l="1"/>
  <c r="T218" i="31" s="1"/>
  <c r="T12" i="31"/>
  <c r="T307" i="31"/>
  <c r="T282" i="31"/>
  <c r="T257" i="31"/>
  <c r="T248" i="31"/>
  <c r="T28" i="31"/>
  <c r="T27" i="31" s="1"/>
  <c r="T247" i="31" l="1"/>
  <c r="AD248" i="31"/>
  <c r="L8" i="15"/>
  <c r="K8" i="15"/>
  <c r="M8" i="15"/>
  <c r="D23" i="30" s="1"/>
  <c r="F23" i="30" s="1"/>
  <c r="AD247" i="31" l="1"/>
  <c r="AD7" i="31" s="1"/>
  <c r="K11" i="8"/>
  <c r="K9" i="8" s="1"/>
  <c r="D35" i="30"/>
  <c r="F20" i="30"/>
  <c r="D25" i="30" l="1"/>
  <c r="M8" i="8"/>
  <c r="K8" i="8"/>
  <c r="L8" i="8"/>
  <c r="D19" i="30" l="1"/>
  <c r="F16" i="30"/>
  <c r="AI324" i="31" l="1"/>
  <c r="AI325" i="31"/>
  <c r="AI327" i="31"/>
  <c r="AI330" i="31"/>
  <c r="AI333" i="31"/>
  <c r="AI338" i="31"/>
  <c r="AI339" i="31"/>
  <c r="AI341" i="31"/>
  <c r="AI342" i="31"/>
  <c r="F6" i="30" l="1"/>
  <c r="AH322" i="31" l="1"/>
  <c r="AH324" i="31"/>
  <c r="N113" i="31"/>
  <c r="U113" i="31"/>
  <c r="S113" i="31"/>
  <c r="R113" i="31"/>
  <c r="Q113" i="31"/>
  <c r="P113" i="31"/>
  <c r="O113" i="31"/>
  <c r="O65" i="31"/>
  <c r="P65" i="31"/>
  <c r="Q65" i="31"/>
  <c r="R65" i="31"/>
  <c r="S65" i="31"/>
  <c r="U65" i="31"/>
  <c r="N65" i="31"/>
  <c r="N28" i="31"/>
  <c r="O28" i="31"/>
  <c r="P28" i="31"/>
  <c r="Q28" i="31"/>
  <c r="R28" i="31"/>
  <c r="S28" i="31"/>
  <c r="U28" i="31"/>
  <c r="AH28" i="31"/>
  <c r="H16" i="33"/>
  <c r="H9" i="33" s="1"/>
  <c r="H8" i="33" s="1"/>
  <c r="S299" i="31"/>
  <c r="AC299" i="31" s="1"/>
  <c r="J13" i="33" s="1"/>
  <c r="Q299" i="31"/>
  <c r="AA299" i="31" s="1"/>
  <c r="I13" i="33" s="1"/>
  <c r="AA298" i="31"/>
  <c r="I11" i="33" s="1"/>
  <c r="S297" i="31"/>
  <c r="AC297" i="31" s="1"/>
  <c r="J10" i="33" s="1"/>
  <c r="Q297" i="31"/>
  <c r="AA297" i="31" s="1"/>
  <c r="I10" i="33" s="1"/>
  <c r="AA296" i="31"/>
  <c r="I14" i="33" s="1"/>
  <c r="S295" i="31"/>
  <c r="AC295" i="31" s="1"/>
  <c r="J18" i="33" s="1"/>
  <c r="AC293" i="31"/>
  <c r="J17" i="33" s="1"/>
  <c r="S292" i="31"/>
  <c r="AC292" i="31" s="1"/>
  <c r="J12" i="33" s="1"/>
  <c r="Q292" i="31"/>
  <c r="AA292" i="31" s="1"/>
  <c r="I12" i="33" s="1"/>
  <c r="R290" i="31"/>
  <c r="P290" i="31"/>
  <c r="O290" i="31"/>
  <c r="I9" i="33" l="1"/>
  <c r="I8" i="33" s="1"/>
  <c r="N290" i="31"/>
  <c r="G19" i="33"/>
  <c r="G9" i="33" s="1"/>
  <c r="G8" i="33" s="1"/>
  <c r="U296" i="31"/>
  <c r="AE296" i="31" s="1"/>
  <c r="L14" i="33" s="1"/>
  <c r="M14" i="33" s="1"/>
  <c r="AC296" i="31"/>
  <c r="J14" i="33" s="1"/>
  <c r="U298" i="31"/>
  <c r="AE298" i="31" s="1"/>
  <c r="L11" i="33" s="1"/>
  <c r="AC298" i="31"/>
  <c r="J11" i="33" s="1"/>
  <c r="AA290" i="31"/>
  <c r="AA289" i="31" s="1"/>
  <c r="AI370" i="31"/>
  <c r="AI321" i="31"/>
  <c r="AI322" i="31"/>
  <c r="AI323" i="31"/>
  <c r="S27" i="31"/>
  <c r="O27" i="31"/>
  <c r="R27" i="31"/>
  <c r="N27" i="31"/>
  <c r="U27" i="31"/>
  <c r="P27" i="31"/>
  <c r="Q27" i="31"/>
  <c r="S290" i="31"/>
  <c r="Q290" i="31"/>
  <c r="J9" i="33" l="1"/>
  <c r="J8" i="33" s="1"/>
  <c r="L9" i="33"/>
  <c r="L8" i="33" s="1"/>
  <c r="M11" i="33"/>
  <c r="M9" i="33" s="1"/>
  <c r="U290" i="31"/>
  <c r="AE290" i="31"/>
  <c r="AE289" i="31" s="1"/>
  <c r="AC290" i="31"/>
  <c r="AC289" i="31" s="1"/>
  <c r="AJ291" i="31"/>
  <c r="AJ292" i="31"/>
  <c r="AJ294" i="31"/>
  <c r="AJ295" i="31"/>
  <c r="AJ296" i="31"/>
  <c r="AJ297" i="31"/>
  <c r="AJ298" i="31"/>
  <c r="AJ299" i="31"/>
  <c r="AJ290" i="31"/>
  <c r="M8" i="33" l="1"/>
  <c r="D17" i="30" s="1"/>
  <c r="AJ293" i="31"/>
  <c r="F17" i="30" l="1"/>
  <c r="N282" i="31"/>
  <c r="O282" i="31"/>
  <c r="P282" i="31"/>
  <c r="Q282" i="31"/>
  <c r="R282" i="31"/>
  <c r="S282" i="31"/>
  <c r="U282" i="31"/>
  <c r="AI378" i="31"/>
  <c r="AI379" i="31" s="1"/>
  <c r="AI310" i="31"/>
  <c r="U230" i="31"/>
  <c r="U22" i="31"/>
  <c r="AE230" i="31" l="1"/>
  <c r="AE225" i="31" s="1"/>
  <c r="AE218" i="31" s="1"/>
  <c r="U225" i="31"/>
  <c r="V22" i="31"/>
  <c r="Z22" i="31" s="1"/>
  <c r="AE22" i="31" s="1"/>
  <c r="L13" i="1" l="1"/>
  <c r="L9" i="1" s="1"/>
  <c r="AE12" i="31"/>
  <c r="AE7" i="31" s="1"/>
  <c r="AA22" i="31"/>
  <c r="AC22" i="31"/>
  <c r="AB22" i="31"/>
  <c r="AB12" i="31" s="1"/>
  <c r="AB7" i="31" s="1"/>
  <c r="W12" i="31"/>
  <c r="L8" i="1" l="1"/>
  <c r="M13" i="1"/>
  <c r="M9" i="1" s="1"/>
  <c r="AC12" i="31"/>
  <c r="J13" i="1"/>
  <c r="AA12" i="31"/>
  <c r="I13" i="1"/>
  <c r="I8" i="15"/>
  <c r="J8" i="15"/>
  <c r="H8" i="15"/>
  <c r="G8" i="15"/>
  <c r="J8" i="8"/>
  <c r="I8" i="8"/>
  <c r="H8" i="8"/>
  <c r="G8" i="8"/>
  <c r="U222" i="31"/>
  <c r="S222" i="31"/>
  <c r="R222" i="31"/>
  <c r="Q222" i="31"/>
  <c r="P222" i="31"/>
  <c r="O222" i="31"/>
  <c r="N222" i="31"/>
  <c r="S219" i="31"/>
  <c r="R219" i="31"/>
  <c r="Q219" i="31"/>
  <c r="P219" i="31"/>
  <c r="O219" i="31"/>
  <c r="N219" i="31"/>
  <c r="O12" i="31"/>
  <c r="P12" i="31"/>
  <c r="Q12" i="31"/>
  <c r="R12" i="31"/>
  <c r="S12" i="31"/>
  <c r="U12" i="31"/>
  <c r="P390" i="31"/>
  <c r="P366" i="31"/>
  <c r="J16" i="28" s="1"/>
  <c r="P364" i="31"/>
  <c r="J13" i="28" s="1"/>
  <c r="P363" i="31"/>
  <c r="P362" i="31"/>
  <c r="AI340" i="31"/>
  <c r="P358" i="31"/>
  <c r="AI328" i="31"/>
  <c r="P348" i="31"/>
  <c r="AI336" i="31"/>
  <c r="P347" i="31"/>
  <c r="P346" i="31"/>
  <c r="S345" i="31"/>
  <c r="Q344" i="31"/>
  <c r="Q320" i="31" s="1"/>
  <c r="AI334" i="31"/>
  <c r="AI344" i="31"/>
  <c r="N255" i="31"/>
  <c r="G11" i="9" s="1"/>
  <c r="O257" i="31"/>
  <c r="R257" i="31"/>
  <c r="P257" i="31"/>
  <c r="N257" i="31"/>
  <c r="AI257" i="31"/>
  <c r="U257" i="31"/>
  <c r="S257" i="31"/>
  <c r="Q257" i="31"/>
  <c r="Q253" i="31"/>
  <c r="U251" i="31"/>
  <c r="R251" i="31"/>
  <c r="P251" i="31"/>
  <c r="O251" i="31"/>
  <c r="U247" i="31"/>
  <c r="O247" i="31"/>
  <c r="S247" i="31"/>
  <c r="R247" i="31"/>
  <c r="Q247" i="31"/>
  <c r="P247" i="31"/>
  <c r="N247" i="31"/>
  <c r="M8" i="1" l="1"/>
  <c r="I9" i="1"/>
  <c r="I8" i="1" s="1"/>
  <c r="J9" i="1"/>
  <c r="J8" i="1" s="1"/>
  <c r="J10" i="28"/>
  <c r="J9" i="28" s="1"/>
  <c r="J8" i="28" s="1"/>
  <c r="P376" i="31"/>
  <c r="P320" i="31"/>
  <c r="G8" i="9"/>
  <c r="G9" i="9"/>
  <c r="N218" i="31"/>
  <c r="R218" i="31"/>
  <c r="Q218" i="31"/>
  <c r="O218" i="31"/>
  <c r="S218" i="31"/>
  <c r="P218" i="31"/>
  <c r="U218" i="31"/>
  <c r="Q251" i="31"/>
  <c r="AA253" i="31"/>
  <c r="AA251" i="31" s="1"/>
  <c r="AC345" i="31"/>
  <c r="AA344" i="31"/>
  <c r="AA320" i="31" s="1"/>
  <c r="G8" i="12"/>
  <c r="U307" i="31"/>
  <c r="AI357" i="31"/>
  <c r="AI359" i="31"/>
  <c r="AI352" i="31"/>
  <c r="AI354" i="31"/>
  <c r="AI343" i="31"/>
  <c r="AI356" i="31"/>
  <c r="AI351" i="31"/>
  <c r="AI349" i="31"/>
  <c r="AI326" i="31"/>
  <c r="AI348" i="31"/>
  <c r="AI346" i="31"/>
  <c r="AI347" i="31"/>
  <c r="AI345" i="31"/>
  <c r="AI350" i="31"/>
  <c r="AI353" i="31"/>
  <c r="AI358" i="31"/>
  <c r="AI361" i="31"/>
  <c r="AI362" i="31"/>
  <c r="AI364" i="31"/>
  <c r="AI332" i="31"/>
  <c r="AI337" i="31"/>
  <c r="AI360" i="31"/>
  <c r="AI363" i="31"/>
  <c r="AI365" i="31"/>
  <c r="AI366" i="31"/>
  <c r="AI368" i="31"/>
  <c r="AI329" i="31"/>
  <c r="AI331" i="31"/>
  <c r="AI335" i="31"/>
  <c r="AI369" i="31"/>
  <c r="N251" i="31"/>
  <c r="S344" i="31"/>
  <c r="S320" i="31" s="1"/>
  <c r="N289" i="31"/>
  <c r="O289" i="31"/>
  <c r="P289" i="31"/>
  <c r="S253" i="31"/>
  <c r="AC253" i="31" s="1"/>
  <c r="AC251" i="31" s="1"/>
  <c r="D10" i="30" l="1"/>
  <c r="I10" i="9"/>
  <c r="J10" i="9"/>
  <c r="AA7" i="31"/>
  <c r="AC344" i="31"/>
  <c r="AI320" i="31"/>
  <c r="U289" i="31"/>
  <c r="N7" i="31"/>
  <c r="R289" i="31"/>
  <c r="R7" i="31" s="1"/>
  <c r="O7" i="31"/>
  <c r="S251" i="31"/>
  <c r="P7" i="31"/>
  <c r="AC320" i="31" l="1"/>
  <c r="AC7" i="31" s="1"/>
  <c r="F10" i="30"/>
  <c r="I8" i="9"/>
  <c r="I9" i="9"/>
  <c r="J8" i="9"/>
  <c r="J9" i="9"/>
  <c r="S289" i="31"/>
  <c r="S7" i="31" s="1"/>
  <c r="T289" i="31"/>
  <c r="T7" i="31" s="1"/>
  <c r="Q289" i="31"/>
  <c r="Q7" i="31" s="1"/>
  <c r="F26" i="30" l="1"/>
  <c r="F36" i="30" l="1"/>
  <c r="U7" i="31"/>
  <c r="E16" i="32" l="1"/>
  <c r="E15" i="32" l="1"/>
  <c r="F19" i="30" l="1"/>
  <c r="F35" i="30" l="1"/>
  <c r="F25" i="30" l="1"/>
  <c r="W7" i="31" l="1"/>
  <c r="D11" i="30" l="1"/>
  <c r="F11" i="30" l="1"/>
  <c r="D9" i="30"/>
  <c r="F9" i="30" l="1"/>
  <c r="F24" i="30"/>
  <c r="D15" i="30"/>
  <c r="D7" i="30" l="1"/>
  <c r="F15" i="30"/>
  <c r="D8" i="30" l="1"/>
  <c r="F7" i="30"/>
  <c r="E17" i="30"/>
  <c r="E26" i="30"/>
  <c r="E10" i="30"/>
  <c r="E16" i="30"/>
  <c r="E13" i="30"/>
  <c r="E11" i="30"/>
  <c r="G1" i="30"/>
</calcChain>
</file>

<file path=xl/comments1.xml><?xml version="1.0" encoding="utf-8"?>
<comments xmlns="http://schemas.openxmlformats.org/spreadsheetml/2006/main">
  <authors>
    <author>Admin</author>
  </authors>
  <commentList>
    <comment ref="AH257" authorId="0" shapeId="0">
      <text>
        <r>
          <rPr>
            <b/>
            <sz val="9"/>
            <color indexed="81"/>
            <rFont val="Tahoma"/>
            <family val="2"/>
          </rPr>
          <t>Admin:</t>
        </r>
        <r>
          <rPr>
            <sz val="9"/>
            <color indexed="81"/>
            <rFont val="Tahoma"/>
            <family val="2"/>
          </rPr>
          <t xml:space="preserve">
cũ</t>
        </r>
      </text>
    </comment>
    <comment ref="T370" authorId="0" shapeId="0">
      <text>
        <r>
          <rPr>
            <b/>
            <sz val="9"/>
            <color indexed="81"/>
            <rFont val="Tahoma"/>
            <family val="2"/>
          </rPr>
          <t>Admin:</t>
        </r>
        <r>
          <rPr>
            <sz val="9"/>
            <color indexed="81"/>
            <rFont val="Tahoma"/>
            <family val="2"/>
          </rPr>
          <t xml:space="preserve">
trước 15507</t>
        </r>
      </text>
    </comment>
    <comment ref="AD370" authorId="0" shapeId="0">
      <text>
        <r>
          <rPr>
            <b/>
            <sz val="9"/>
            <color indexed="81"/>
            <rFont val="Tahoma"/>
            <family val="2"/>
          </rPr>
          <t>Admin:</t>
        </r>
        <r>
          <rPr>
            <sz val="9"/>
            <color indexed="81"/>
            <rFont val="Tahoma"/>
            <family val="2"/>
          </rPr>
          <t xml:space="preserve">
trước 15507</t>
        </r>
      </text>
    </comment>
  </commentList>
</comments>
</file>

<file path=xl/comments2.xml><?xml version="1.0" encoding="utf-8"?>
<comments xmlns="http://schemas.openxmlformats.org/spreadsheetml/2006/main">
  <authors>
    <author>Thành Đinh Hữu</author>
  </authors>
  <commentList>
    <comment ref="D24" authorId="0" shapeId="0">
      <text>
        <r>
          <rPr>
            <b/>
            <sz val="9"/>
            <color indexed="81"/>
            <rFont val="Tahoma"/>
            <family val="2"/>
          </rPr>
          <t>Thành Đinh Hữu:</t>
        </r>
        <r>
          <rPr>
            <sz val="9"/>
            <color indexed="81"/>
            <rFont val="Tahoma"/>
            <family val="2"/>
          </rPr>
          <t xml:space="preserve">
Còn dư pbo sau</t>
        </r>
      </text>
    </comment>
  </commentList>
</comments>
</file>

<file path=xl/sharedStrings.xml><?xml version="1.0" encoding="utf-8"?>
<sst xmlns="http://schemas.openxmlformats.org/spreadsheetml/2006/main" count="5848" uniqueCount="2147">
  <si>
    <t>Số TT</t>
  </si>
  <si>
    <t>Danh mục dự án</t>
  </si>
  <si>
    <t>Địa điểm xây dựng</t>
  </si>
  <si>
    <t>Quyết định đầu tư</t>
  </si>
  <si>
    <t>Ghi chú</t>
  </si>
  <si>
    <t>Lĩnh vực</t>
  </si>
  <si>
    <t>TMĐT</t>
  </si>
  <si>
    <t>Tổng số
(tất cả các
nguồn vốn)</t>
  </si>
  <si>
    <t>Tổng số</t>
  </si>
  <si>
    <t>Đồng Hới</t>
  </si>
  <si>
    <t>Quảng Ninh</t>
  </si>
  <si>
    <t>Đầu tư nâng cấp, triển khai nhân rộng phần mềm một cửa liên thông và dịch vụ hành chính công tỉnh Quảng Bình (giai đoạn I: 5930 triệu đồng)</t>
  </si>
  <si>
    <t>Đầu tư mua sắm hệ thống lưu trữ và khai thác chương trình đài phát thanh và truyền hình Quảng Bình</t>
  </si>
  <si>
    <t>Nâng cấp hệ thống công nghệ thông tin phục vụ công tác chỉ đạo điều hành huyện ủy Quảng Ninh</t>
  </si>
  <si>
    <t>Đầu tư bổ sung thiết bị kỹ thuật Trung tâm Kỹ thuật Đo lường thử nghiệm</t>
  </si>
  <si>
    <t>Đầu tư xây dựng cơ sở thực nghiệm nghiên cứu, sản xuất và phát triển các sản phẩm nấm ăn và nấm dược liệu</t>
  </si>
  <si>
    <t xml:space="preserve"> -</t>
  </si>
  <si>
    <t>Quảng Trạch</t>
  </si>
  <si>
    <t>XD mới Phòng khám đa khoa khu vực Sơn Trạch</t>
  </si>
  <si>
    <t>2724/QĐ-UBND, ngày 31/10/2013</t>
  </si>
  <si>
    <t>Hạ tầng kỹ thuật Bệnh viện Đa khoa huyện Quảng Ninh</t>
  </si>
  <si>
    <t>528/QĐ-UBND, ngày 15/3/2011; 2017/QĐ-UBND ngày 21/8/2013; 2124/QĐ-UBND ngày 05/9/2013</t>
  </si>
  <si>
    <t>Phòng khám bệnh và hạ tầng kỹ thuật Trung tâm Y tế dự phòng huyện Quảng Ninh</t>
  </si>
  <si>
    <t>3386/QĐ-UBND
 ngày 27/10/2016</t>
  </si>
  <si>
    <t>Nhà ăn, nhà ở cho nhân viên phục vụ, y tế, điều dưỡng, nạn nhân nữ trung tâm bán trú nạn nhân chất độc da cam/dioxin</t>
  </si>
  <si>
    <t>3490/QĐ-UBND
 ngày 28/10/2016</t>
  </si>
  <si>
    <t>Minh Hóa</t>
  </si>
  <si>
    <t>Nhà liên ngành và Quốc môn KKT cửa khẩu Quốc tế Cha Lo (giai đoạn 2)</t>
  </si>
  <si>
    <t>1515/QĐ-UBND ngày 01/7/2013</t>
  </si>
  <si>
    <t>Hạ tầng kỹ thuật Khu trung tâm cửa khẩu Quốc tế Cha Lo (giai đoạn 2)</t>
  </si>
  <si>
    <t>2564/QĐ-CT ngày 22/10/2012</t>
  </si>
  <si>
    <t>Hạ tầng khu phi thuế quan và các điểm dịch vụ khu kinh tế cửa khẩu Cha Lo</t>
  </si>
  <si>
    <t>3064/QĐ-UBND ngày 29/10/2014</t>
  </si>
  <si>
    <t>Bố Trạch</t>
  </si>
  <si>
    <t>-</t>
  </si>
  <si>
    <t>Đường nối từ đường Nguyễn Hữu Cảnh - đường Nguyễn Văn Cừ  (đoạn từ Sở Tài chính - đường Nguyễn Văn Cừ), TP. Đồng Hới</t>
  </si>
  <si>
    <t>2757/QĐ-UBND ngày 27/10/2010; 46/QĐ-UBND ngày 10/01/2014</t>
  </si>
  <si>
    <t>GTVT</t>
  </si>
  <si>
    <t>VHTT-LĐ</t>
  </si>
  <si>
    <t>QLNN</t>
  </si>
  <si>
    <t>Trụ sở Chi cục Kiểm lâm</t>
  </si>
  <si>
    <t>NN-TL</t>
  </si>
  <si>
    <t>Sửa chữa, nâng cấp đập Đồng Ran, Bắc Trạch</t>
  </si>
  <si>
    <t>Nâng cấp hồ Hói Chánh</t>
  </si>
  <si>
    <t>Tuyên Hóa</t>
  </si>
  <si>
    <t>2392/QĐ-UBND ngày 17/9/2010; 2792/QĐ-UBND ngày 07/11/2013</t>
  </si>
  <si>
    <t>Lệ Thủy</t>
  </si>
  <si>
    <t>TM-DL</t>
  </si>
  <si>
    <t>CN-Điện</t>
  </si>
  <si>
    <t>Ba Đồn</t>
  </si>
  <si>
    <t>ANQP</t>
  </si>
  <si>
    <t>Dự án khắc phục hậu quả bom mìn vật nổ còn sót lại sau chiến tranh trên địa bàn tỉnh Quảng Bình</t>
  </si>
  <si>
    <t>2388/QĐ-UBND ngày 17/9/2010;
944/QĐ-UBND ngày 26/4/2013</t>
  </si>
  <si>
    <t>Kè chống xói lở sông Kiến Giang (Giai đoạn 1)</t>
  </si>
  <si>
    <t>734/QĐ-UBND ngày 16/4/2008</t>
  </si>
  <si>
    <t>Trả nợ các dự án DPPR</t>
  </si>
  <si>
    <t>Sửa chữa, nâng cấp hệ thống thủy lợi hồ Trúc Vực và Khe Ngang xã Liên Trạch, Phúc Trạch, huyện Bố Trạch GĐ1</t>
  </si>
  <si>
    <t xml:space="preserve">1832/QĐ-UBND
ngày 30/7/2010; 271/QĐ-UBND ngày 27/1/2014 </t>
  </si>
  <si>
    <t>2622/QĐ-CT ngày 24/10/2012; 1471/QĐ-UBND ngày 26/6/2013</t>
  </si>
  <si>
    <t>Đường phía Đông dọc bờ sông Nhật Lệ (giai đoạn 1), xã Bảo Ninh, thành phố Đồng Hới</t>
  </si>
  <si>
    <t>225/QĐ-UBND ngày 28/01/2013; 1668/QĐ-UBND ngày 26/6/2014</t>
  </si>
  <si>
    <t>Đường và kè bao chống xói lở phía ngoài bờ sông Gianh khu nuôi trồng thủy sản xã Quảng Trường</t>
  </si>
  <si>
    <t>Sửa chữa, nạo vét kênh Xuân Hưng</t>
  </si>
  <si>
    <t>Sữa chữa, nâng cấp hồ Mù U, huyện Bố Trạch</t>
  </si>
  <si>
    <t>675/QĐ-UBND
 ngày 30/3/2011;
2676/QĐ-UBND 
ngày 19/10/2011</t>
  </si>
  <si>
    <t>Đường từ Bắc Sơn, xã Thanh Hóa đi xã Thanh Thạch, huyện Tuyên Hóa</t>
  </si>
  <si>
    <t>3065/QĐ-UBND ngày 29/10/2014</t>
  </si>
  <si>
    <t>Cấp nước sinh hoạt xã Thạch Hóa (giai đoạn 1)</t>
  </si>
  <si>
    <t>1003/QĐ-UBND; 24/4/2014</t>
  </si>
  <si>
    <t>HTCC</t>
  </si>
  <si>
    <t>Dự án Phục hồi quản lý bền vững rừng phòng hộ (JICA2)</t>
  </si>
  <si>
    <t>Dự án môi trường bền vững thành phố Đồng Hới (WB)</t>
  </si>
  <si>
    <t>Dự án Tăng cường quản lý đất đai và xây dựng cơ sở dự liệu đất đai (TDA tỉnh Quảng Bình)</t>
  </si>
  <si>
    <t>Dự án sửa chữa và nâng cao an toàn hồ đập (WB8)</t>
  </si>
  <si>
    <t>Dự án xây dựng cầu dân sinh và quản lý  tài sản đường địa phương (Dự án LRAMP) tỉnh Quảng Bình</t>
  </si>
  <si>
    <t>Tiểu Dự án quản lý rủi ro thiên tai dựa vào cộng đồng (CBDRM) thuộc Dự án Quản lý thiên tai (VN-Haz/WB5) tỉnh Quảng Bình- HP3</t>
  </si>
  <si>
    <t>3149/QĐ-UBND ngày 31/10/2014</t>
  </si>
  <si>
    <t xml:space="preserve">1828/QĐ-UBND ngày 10/8/2012; 3158/QĐ-UBND ngày 31/10/2014 </t>
  </si>
  <si>
    <t>3156/QĐ-UBND ngày 31/10/2014</t>
  </si>
  <si>
    <t>221/QĐ-UBND ngày 28/1/2015</t>
  </si>
  <si>
    <t>QĐ Danh mục DA HTKT 728/QĐ-TTg ngày 28/04/2016</t>
  </si>
  <si>
    <t xml:space="preserve"> Quyết định số 528/QĐ-TTg ngày 6/4/2016</t>
  </si>
  <si>
    <t>Quyết định 930/QĐ-TTg ngày 30/5/2016; QĐ 1236/QĐ-BTNMT ngày 30/5/2016</t>
  </si>
  <si>
    <t>4638/QĐ-BNN-HTQT ngày 9/11/2015</t>
  </si>
  <si>
    <t>622/QĐ-BGTVT ngày 2/3/2016</t>
  </si>
  <si>
    <t>77/QĐ-UBND ngày 13/1/2016</t>
  </si>
  <si>
    <t>Trung tâm văn hóa tỉnh Quảng Bình</t>
  </si>
  <si>
    <t>3120/QĐ-UBND ngày 31/10/2014</t>
  </si>
  <si>
    <t>Trụ sở Tỉnh ủy</t>
  </si>
  <si>
    <t>2429/QĐ-UBND ngày 04/10/2013; 3419/QĐ-UBND 26/11/2014; 3490/QĐ-UBND 04/12/2015</t>
  </si>
  <si>
    <t>Trụ sở làm việc khối cơ quan Huyện ủy và khối Mặt trận đoàn thể huyện Quảng Trạch</t>
  </si>
  <si>
    <t>3044/QĐ-UBND
ngày 28/10/2014; 3400/QĐ-UBND ngày 25/11/2014</t>
  </si>
  <si>
    <t>Trụ sở Ủy ban nhân dân huyện Quảng Trạch</t>
  </si>
  <si>
    <t>3043/QĐ-UBND
ngày 24/10/2014; 3401/QĐ-UBND ngày 25/11/2014</t>
  </si>
  <si>
    <t>3463/QĐ-UBND ngày 28/10/2016</t>
  </si>
  <si>
    <t>3464/QĐ-UBND ngày 28/10/2016</t>
  </si>
  <si>
    <t>Dự án xây dựng cơ sở hạ tầng khu tái định cư thôn Tăng Hóa, huyện Minh Hóa (Hạng mục Đường giao thông), giai đoạn 1: 23,728 tỷ (lồng ghép Chương trình tái cơ cấu nông nghiệp)</t>
  </si>
  <si>
    <t>Số 3153/QĐ-UBND ngày 31/10/2014</t>
  </si>
  <si>
    <t>270/QĐ-CT ngày 31/01/2013</t>
  </si>
  <si>
    <t>Nâng cấp tuyến đường Ba Đồn -Quảng Long đấu nối với tuyến đường QL1 đi Bàu Sen</t>
  </si>
  <si>
    <t>2412/QĐ-UBND ngày 3/9/2014</t>
  </si>
  <si>
    <t xml:space="preserve">Trụ sở làm việc Hội Liên hiệp phụ nữ tỉnh Quảng Bình </t>
  </si>
  <si>
    <t>2226/QĐ-UBND ngày 13/9/2013</t>
  </si>
  <si>
    <t>Cầu bê tông xã Nam Trạch</t>
  </si>
  <si>
    <t>Số 2670/QĐ-UBND ngày 28/10/2013</t>
  </si>
  <si>
    <t>Trung tâm huấn luyện chiến đấu LLVT tỉnh</t>
  </si>
  <si>
    <t>1851/QĐ-UBND ngày 02/8/2013</t>
  </si>
  <si>
    <t>Kè chống sạt lở khu vực Kênh Kịa, thị xã Ba Đồn</t>
  </si>
  <si>
    <t>3047/QĐ-UBND ngày 05/12/2013</t>
  </si>
  <si>
    <t>Đường từ nhánh Đông đường Hồ Chí Minh vào khu du lịch sinh thái Trằm mé (Phong Nha - Kẻ Bàng) giai đoạn 1</t>
  </si>
  <si>
    <t>3052/QĐ-UBND ngày 29/10/2014</t>
  </si>
  <si>
    <t xml:space="preserve">Dự án bảo tàng tổng hợp tỉnh </t>
  </si>
  <si>
    <t>1284/QĐ-UBND ngày 4/6/2013</t>
  </si>
  <si>
    <t xml:space="preserve">Đối ứng cho Dự án Cấp điện nông thôn từ lưới điện Quốc gia tỉnh Quảng Bình </t>
  </si>
  <si>
    <t>2908/QĐ-UBND ngày 16/10/2014; 3494/QĐ-UBND ngày 04/12/2015</t>
  </si>
  <si>
    <t>Xây dựng mới Làng Thanh niên Lập nghiệp Quảng Châu</t>
  </si>
  <si>
    <t>651-QĐ/TWĐTN</t>
  </si>
  <si>
    <t>Đường liên thôn xã Tiến Hoá</t>
  </si>
  <si>
    <t>2957/QĐ-UBND ngày 22/10/2014</t>
  </si>
  <si>
    <t>Đường GTNT xã Quảng Phương theo QH nông thôn mới</t>
  </si>
  <si>
    <t>2698/QĐ-UBND ngày 01/10/2014</t>
  </si>
  <si>
    <t>Tuyến đường Hào xã Quảng Tiên thị xã Ba Đồn</t>
  </si>
  <si>
    <t>1672/QĐ-UBND ngày 19/6/2015</t>
  </si>
  <si>
    <t>Đường liên thôn xã Văn Hoá</t>
  </si>
  <si>
    <t>1011/QĐ-UBND ngày 16/4/2015</t>
  </si>
  <si>
    <t>Đường liên xã từ thôn Long Đại đi thôn Hà Kiên, xã Hiền Ninh.</t>
  </si>
  <si>
    <t>Đường liên thôn xã Quảng Trung</t>
  </si>
  <si>
    <t>3705/QĐ-UBND ngày 31/12/2010; 1884/QĐ-UBND ngày 10/7/2015</t>
  </si>
  <si>
    <t>Nâng cấp 2 tuyến đường và vỉa hè khu dân cư mới thị xã Ba Đồn</t>
  </si>
  <si>
    <t>3002/QĐ-CT ngày 25/10/2014</t>
  </si>
  <si>
    <t>Đường giao thông liên thôn thôn Pháp Kệ, thôn Đông Dương và thôn Tô Xá xã Quảng Phương</t>
  </si>
  <si>
    <t>1739/QĐ-UBND ngày 30/6/2014</t>
  </si>
  <si>
    <t>Đường liên thôn Hà Tiến đi thôn Hải Lưu, xã Quảng Tiến</t>
  </si>
  <si>
    <t>Xây dựng tuyến đường liên thôn từ thôn Tiền Tiến đi thôn Hòa Lạc xã Quảng Châu</t>
  </si>
  <si>
    <t>2304/QĐ-UBND ngày 02/10/2012</t>
  </si>
  <si>
    <t>Tuyến đường ngang dọc nối từ QL 1A đi Bàu Sen đến vị trí quy hoạch khu trung tâm hành chính huyện lỵ mới huyện Quảng Trạch (các trục N1, D1 và D3) - giai đoạn 1</t>
  </si>
  <si>
    <t>1913/QĐ-UBND ngày 21/7/2014</t>
  </si>
  <si>
    <t>Sửa chữa khẩn cấp tuyến đường Lê Lợi, đoạn từ QL12A đi thôn Tiền Phong, phường Quảng Long, TX Ba Đồn</t>
  </si>
  <si>
    <t>2315/QĐ-UBND ngày 04/8/2016</t>
  </si>
  <si>
    <t>Đường giao thông nội thị khu phố 5, phường Ba Đồn</t>
  </si>
  <si>
    <t>3006/QĐ-UBND ngày 25/10/2014</t>
  </si>
  <si>
    <t>Khắc phục khẩn cấp tuyến đê kết hợp đường giao thông phường Quảng Phúc</t>
  </si>
  <si>
    <t>1986/QĐ-UBND ngày 05/7/2016</t>
  </si>
  <si>
    <t>Hệ thống phòng cháy và hệ thống cảnh báo cháy tự động Trụ sở làm việc Văn phòng Sở, Trung tâm dữ liệu địa chính và các đơn vị trực thuộc Sở Tài nguyên và Môi trường</t>
  </si>
  <si>
    <t>1469/QĐ-UBND ngày 18/10/2013</t>
  </si>
  <si>
    <t>Cầu vào thôn Xuân Hoà xã Quảng Xuân</t>
  </si>
  <si>
    <t>1881/QĐ-UBND ngày 22/6/2016</t>
  </si>
  <si>
    <t>Đường vào bản Sắt xã Trường Sơn, huyện Quảng Ninh</t>
  </si>
  <si>
    <t>2379/QĐ-UBND
ngày 09/10/2012; 1338/QĐ-UBND ngày 26/5/2014</t>
  </si>
  <si>
    <t>Hỗ trợ GPMB xây dựng Trụ sở BCH Bộ đội biên phòng tỉnh</t>
  </si>
  <si>
    <t>Mở rộng, nâng cấp nhà huấn luyện Công an tỉnh</t>
  </si>
  <si>
    <t>01/QĐ-UBND ngày 04/01/2016</t>
  </si>
  <si>
    <t>Hệ thống điện chiếu sáng đường về nhà lưu niệm Đại tướng Võ Nguyên Giáp</t>
  </si>
  <si>
    <t>778/QĐ-UBND ngày 22/3/2016</t>
  </si>
  <si>
    <t>Hệ thống điện chiếu sáng từ Sở Giáo dục Đào tạo đi Trường THPT chuyên Võ Nguyên Giáp - QL 1A</t>
  </si>
  <si>
    <t>3103a/QĐ-UBND ngày 30/10/2015</t>
  </si>
  <si>
    <t>Trồng cây xanh đường Thống Nhất (36m), TP Đồng Hới</t>
  </si>
  <si>
    <t>2224/QĐ-UBND ngày 26/7/2016</t>
  </si>
  <si>
    <t>3479/QĐ-UBND ngày 28/10/2016</t>
  </si>
  <si>
    <t>Sửa chữa, cải tạo Trụ sở làm việc Sở Công Thương Quảng Bình</t>
  </si>
  <si>
    <t>2952/QĐ-UBND ngày 27/9/2016</t>
  </si>
  <si>
    <t>Tuyến đường 22m (giáp hàng rào phía Nam công trình Trụ sở cơ quan Tỉnh ủy Quảng Bình và công trình Trung tâm Văn hóa tỉnh) nối từ đường Nguyễn Hữu Cảnh đến dọc sông Cầu Rào.</t>
  </si>
  <si>
    <t>Cầu sắt Quảng Văn (cầu Quảng Hòa 2)</t>
  </si>
  <si>
    <t>Phân loại 1</t>
  </si>
  <si>
    <t>Khác</t>
  </si>
  <si>
    <t>Hoàn thành</t>
  </si>
  <si>
    <t>Trường Mầm non Hương Hóa (4 phòng 2 tầng)</t>
  </si>
  <si>
    <t>3127a/QĐ-UBND ngày 30/10/2015</t>
  </si>
  <si>
    <t>Xây dựng khuôn viên, hàng rào và hạ tầng kỹ thuật Trường THPT Hùng Vương</t>
  </si>
  <si>
    <t>3101/QĐ-UBND ngày 30/10/2015</t>
  </si>
  <si>
    <t>3058/QĐ-UBND ngày 29/10/2015</t>
  </si>
  <si>
    <t>Trường Tiểu học Hải Trạch (6 phòng)</t>
  </si>
  <si>
    <t>5656/QĐ-UBND ngày 28/10/2015</t>
  </si>
  <si>
    <t>Nhà lớp học 6 phòng Trường TH thị trấn Quán Hàu</t>
  </si>
  <si>
    <t>3090/QĐ-UBND ngày 30/10/2015</t>
  </si>
  <si>
    <t>Nhà lớp học bộ môn 6 phòng 2 tầng Trường THCS Tân Ninh</t>
  </si>
  <si>
    <t>3118a/QĐ-UBND ngày 30/10/2015</t>
  </si>
  <si>
    <t xml:space="preserve">Xây dựng khu hành chính quản trị Trường THPT Chuyên Võ Nguyên Giáp </t>
  </si>
  <si>
    <t>3112/QĐ-UBND ngày 31/10/2015</t>
  </si>
  <si>
    <t>Nhà hiệu bộ Trường tiểu học Tân Thủy</t>
  </si>
  <si>
    <t>3075a/QĐ-UBND ngày 30/10/2015</t>
  </si>
  <si>
    <t>Trường Mầm non xã Võ Ninh (3 phòng học, phòng chức năng, phòng làm việc)</t>
  </si>
  <si>
    <t>2977/QĐ-UBND ngày 26/10/2015</t>
  </si>
  <si>
    <t>Khuôn viên hàng rào trường, công trình cấp nước, phòng học THCS&amp;THPT Hóa Tiến</t>
  </si>
  <si>
    <t>3120/QĐ-UBND ngày 30/10/2015</t>
  </si>
  <si>
    <t>Xây dựng Nhà đa năng Trường PT Dân tộc nội trú tỉnh</t>
  </si>
  <si>
    <t>3077a/QĐ-UBND ngày 30/10/2015</t>
  </si>
  <si>
    <t>Xây dựng hạ tầng kỹ thuật Trường THPT số 3 Bố Trạch</t>
  </si>
  <si>
    <t>3108/QĐ-UBND ngày 30/10/2015</t>
  </si>
  <si>
    <t>Xây dựng hệ thống thoát nước và hạ tầng kỹ thuật trường THPT Lê Trực</t>
  </si>
  <si>
    <t>2777/QĐ-UBND ngày 12/10/2015</t>
  </si>
  <si>
    <t>Khuôn viên hàng rào và hạ tầng kỹ thuật Trường THPT Lê Lợi, thị xã Ba Đồn</t>
  </si>
  <si>
    <t>2745/QĐ-UBDN ngày 07/10/2015</t>
  </si>
  <si>
    <t>3109/QĐ-UBND ngày 30/10/2015</t>
  </si>
  <si>
    <t>Xây dựng hàng rào, nhà phòng học 8 phòng 2 tầng THPT Hoàng Hoa Thám</t>
  </si>
  <si>
    <t>3041/QĐ-UBND ngày 29/10/2015</t>
  </si>
  <si>
    <t xml:space="preserve">Cụm Mầm non trung tâm xã Sơn Thủy nhà lớp học 6 phòng </t>
  </si>
  <si>
    <t>3038/QĐ-UBND ngày 29/10/2015</t>
  </si>
  <si>
    <t>Trường Tiểu học số 1 Xuân Ninh (8 phòng)</t>
  </si>
  <si>
    <t>3066/QĐ-UBND ngày 30/10/2015</t>
  </si>
  <si>
    <t>Nhà lớp học 2 tầng 4 phòng Trường Mầm non xã Lý Trạch, huyện Bố Trạch</t>
  </si>
  <si>
    <t>3115a/QĐ-UBND ngày 31/10/2015</t>
  </si>
  <si>
    <t>Trường Mầm non khu vực 2 Phường Quảng Long, thị xã Ba Đồn, tỉnh Quảng Bình</t>
  </si>
  <si>
    <t>3105/QĐ-UBND ngày 30/10/2015</t>
  </si>
  <si>
    <t>Nhà lớp học 2 tầng 4 phòng Trường Mầm non Hồng Thủy</t>
  </si>
  <si>
    <t>3040/QĐ-UBND ngày 29/10/2015</t>
  </si>
  <si>
    <t>Cải tạo, nâng cấp khối phòng học trường Tiểu học Đồng Phú</t>
  </si>
  <si>
    <t>4463/QĐ-UBND ngày 29/10/2015</t>
  </si>
  <si>
    <t>Trường THCS xã Quảng Trường (phòng học chức năng và phòng học bộ môn)</t>
  </si>
  <si>
    <t>3059/QĐ-UBND ngày 29/10/2015</t>
  </si>
  <si>
    <t>Trường mầm non thôn Chày Lập xã Phúc Trạch (4 phòng)</t>
  </si>
  <si>
    <t>2903a/QĐ-UBND ngày 30/10/2015</t>
  </si>
  <si>
    <t>Nhà lớp học 2 tầng 4 phòng Trường mầm non Ngư Thủy Trung</t>
  </si>
  <si>
    <t>3039/QĐ-UBND ngày 29/10/2015</t>
  </si>
  <si>
    <t>Trường Mầm non Khu vực Lộc An (6 phòng)</t>
  </si>
  <si>
    <t>3042/QĐ-UBND ngày 29/10/2015</t>
  </si>
  <si>
    <t>Trường Mầm non xã Hàm Ninh (điểm trường Trần Xá)</t>
  </si>
  <si>
    <t>3124/QĐ-UBND ngày 30/10/2015</t>
  </si>
  <si>
    <t>Trường TH Trường Sơn (4 phòng)</t>
  </si>
  <si>
    <t>809/QĐ-UBND ngày 28/10/2015</t>
  </si>
  <si>
    <t>Trường Mầm non Tân Thủy (hỗ trợ nông thôn mới)</t>
  </si>
  <si>
    <t>2896/QĐ-UBND ngày 30/5/2016</t>
  </si>
  <si>
    <t>Nhà lớp học 2 tầng 6 phòng Trường THCS xã Quảng Lưu</t>
  </si>
  <si>
    <t>3103/QĐ-UBND ngày 30/10/2015</t>
  </si>
  <si>
    <t>Trường TH Thái Thủy (4 phòng)</t>
  </si>
  <si>
    <t>1582/QĐ-UBND ngày 30/5/2016</t>
  </si>
  <si>
    <t>Trường TH và THCS Trọng Hóa (6 phòng)</t>
  </si>
  <si>
    <t>3076a/QĐ-UBND ngày 30/10/2015</t>
  </si>
  <si>
    <t>Trường TH số 1 Đồng Lê (6 phòng chức năng)</t>
  </si>
  <si>
    <t>3119a/QĐ-UBND ngày 30/10/2015</t>
  </si>
  <si>
    <t>Trường THCS Tân Hóa (6 phòng)</t>
  </si>
  <si>
    <t>Nhà lớp học 2 tầng 6 phòng Trường cấp 1,2 xã Trường Thủy</t>
  </si>
  <si>
    <t>5362/QĐ-UBND ngày 23/10/2016</t>
  </si>
  <si>
    <t>Trường Mầm non Văn Thủy (6 phòng)</t>
  </si>
  <si>
    <t>3458/QĐ-UBND ngày 28/10/2016</t>
  </si>
  <si>
    <t>Nhà lớp học 2 tầng 6 phòng Trường Mầm non khu vực Nhân Hồng xã Nhân Trạch</t>
  </si>
  <si>
    <t>3302/QĐ-UBND ngày 24/10/2016</t>
  </si>
  <si>
    <t>Trường tiểu học Liên Thủy (6 phòng)</t>
  </si>
  <si>
    <t>3019/QĐ-UBND ngày 30/9/2016</t>
  </si>
  <si>
    <t>Hệ thống thoát nước và hạ tầng kỹ thuật trường THPT Phan Bội Châu</t>
  </si>
  <si>
    <t>2642/QĐ-UBND ngày 29/8/2016</t>
  </si>
  <si>
    <t>Nhà lớp học 6 phòng 2 tầng Trường Tiểu học xã Văn Hóa</t>
  </si>
  <si>
    <t>2481/QĐ-UBND ngày 16/8/2016</t>
  </si>
  <si>
    <t>Nhà lớp học 2 tầng 6 phòng trường THCS xã Quảng Tiến, huyện Quảng Trạch</t>
  </si>
  <si>
    <t>3310/QĐ-UBND ngày 24/10/2016</t>
  </si>
  <si>
    <t>Trường PTDTNT Lệ Thủy (Nhà nội trú học sinh 20 phòng)</t>
  </si>
  <si>
    <t>3457/QĐ-UBND ngày 28/10/2016</t>
  </si>
  <si>
    <t>Trường Tiểu học Ngư Thủy Bắc (2 tầng 6 phòng)</t>
  </si>
  <si>
    <t>2570/QĐ-UBND ngày 24/8/2016</t>
  </si>
  <si>
    <t>Nhà lớp học bộ môn 6 phòng Trường THCS Mỹ Thủy</t>
  </si>
  <si>
    <t>3312/QĐ-UBND ngày 24/10/2016</t>
  </si>
  <si>
    <t>Nhà lớp học 6 phòng 2 tầng trường Tiểu học số 1 Phong Hóa</t>
  </si>
  <si>
    <t>2573/QĐ-UBND ngày 25/8/2016</t>
  </si>
  <si>
    <t>Nhà lớp học 8 phòng Trường THPT Ninh Châu</t>
  </si>
  <si>
    <t>2175/QĐ-UBND ngày 22/7/2016</t>
  </si>
  <si>
    <t>Trường mầm non Cụm Thanh Tân xã Thanh Thủy</t>
  </si>
  <si>
    <t>2956/QĐ-UBND ngày 28/9/2016</t>
  </si>
  <si>
    <t>Trường Tiểu học Bắc Lý (02 tầng, 8 phòng)</t>
  </si>
  <si>
    <t>2368/QĐ-UBND ngày 8/8/2016</t>
  </si>
  <si>
    <t>Trường Mầm non Quảng Hải (4 phòng)</t>
  </si>
  <si>
    <t>Nhà giảng đường, thư viện Trung tâm Bồi dưỡng chính trị huyện Quảng Ninh</t>
  </si>
  <si>
    <t>Trường THCS Lộc Thủy (8 phòng)</t>
  </si>
  <si>
    <t>2584/QĐ-UBND ngày 25/8/2016</t>
  </si>
  <si>
    <t>Nhà nội trú Trường Phổ thông dân tộc nội trú Minh Hóa</t>
  </si>
  <si>
    <t>3477/QĐ-UBND ngày 28/10/2016</t>
  </si>
  <si>
    <t>Xây dựng Trường Tiểu học Đức Trạch</t>
  </si>
  <si>
    <t>3469/QĐ-UBND ngày 28/10/2016</t>
  </si>
  <si>
    <t>Nhà lớp học và phòng học chức năng Trường MN xã Đồng Hóa</t>
  </si>
  <si>
    <t>3309/QĐ-UBND ngày 24/10/2016</t>
  </si>
  <si>
    <t>Nhà đa chức năng, trường THPT Lương Thế Vinh</t>
  </si>
  <si>
    <t>3311/QĐ-UBND ngày 24/10/2016</t>
  </si>
  <si>
    <t>Nhà đa năng trường THCS&amp;THPT Hóa Tiến</t>
  </si>
  <si>
    <t>3345/QĐ-UBND ngày 25/10/2016</t>
  </si>
  <si>
    <t xml:space="preserve">Hệ thống thoát nước và hạ tầng kỹ thuật trường THPT Lương Thế Vinh </t>
  </si>
  <si>
    <t>3366/QĐ-UBND ngày 26/10/2016</t>
  </si>
  <si>
    <t xml:space="preserve">Hệ thống thoát nước và hạ tầng kỹ thuật trường THPT Trần Hưng Đạo </t>
  </si>
  <si>
    <t>3466/QĐ-UBND ngày 28/10/2016</t>
  </si>
  <si>
    <t>Dãy nhà hiệu bộ và nhà vệ sinh học sinh trường Tiểu học Đức Ninh</t>
  </si>
  <si>
    <t>3467/QĐ-UBND ngày 28/10/2016</t>
  </si>
  <si>
    <t>3387/QĐ-UBND ngày 28/10/2016</t>
  </si>
  <si>
    <t>Nhà lớp học 2 tầng 6 phòng Trường THCS xã Quảng Trung</t>
  </si>
  <si>
    <t>3406/QĐ-UBND ngày 27/10/2016</t>
  </si>
  <si>
    <t xml:space="preserve">Nhà lớp học 2 tầng 8 phòng Trường THCS Quảng Thọ </t>
  </si>
  <si>
    <t>3472/QĐ-UBND ngày 28/10/2016</t>
  </si>
  <si>
    <t>Nhà lớp học 4 phòng 2 tầng trường Tiểu học phường Quảng Long</t>
  </si>
  <si>
    <t>3407/QĐ-UBND ngày 27/10/2016</t>
  </si>
  <si>
    <t>Trường THCS Quảng Liên (6 phòng)</t>
  </si>
  <si>
    <t>3483/QĐ-UBND ngày 28/10/2016</t>
  </si>
  <si>
    <t>Nhà lớp học 2 tầng 8 phòng Trường TH và THCS xã Nam Hóa</t>
  </si>
  <si>
    <t>3482/QĐ-UBND ngày 28/10/2016</t>
  </si>
  <si>
    <t>Trường Tiểu học xã Cảnh Dương (8 phòng)</t>
  </si>
  <si>
    <t>3484/QĐ-UBND ngày 28/10/2016</t>
  </si>
  <si>
    <t>Xây dựng trường MN xã Quảng Lưu</t>
  </si>
  <si>
    <t>3475/QĐ-UBND ngày 28/10/2016</t>
  </si>
  <si>
    <t>Trường THCS Quảng Phú (8 phòng)</t>
  </si>
  <si>
    <t>3474/QĐ-UBND ngày 28/10/2016</t>
  </si>
  <si>
    <t>Trường TH xã Quảng Trường</t>
  </si>
  <si>
    <t>3478/QĐ-UBND ngày 28/10/2016</t>
  </si>
  <si>
    <t>3316/QĐ-UBND ngày 25/10/2016</t>
  </si>
  <si>
    <t>3523/QĐ-UBND  ngày 31/10/2016</t>
  </si>
  <si>
    <t>Nhà lơp học 2 tầng 6 phòng Trường THCS Duy Ninh</t>
  </si>
  <si>
    <t>3488/QĐ-UBND ngày 28/10/2016</t>
  </si>
  <si>
    <t>3522/QĐ-UBND ngày 31/10/2016</t>
  </si>
  <si>
    <t>Nhà lớp học 2 tầng 4 phòng và hạ tầng kỹ thuật cụm trường mầm non xã Sơn Thuỷ</t>
  </si>
  <si>
    <t>3456/QĐ-UBND ngày 28/10/2016</t>
  </si>
  <si>
    <t>Trường THCS xã An Thủy (8 phòng)</t>
  </si>
  <si>
    <t>3461/QĐ-UBND ngày 28/10/2016</t>
  </si>
  <si>
    <t>Nhà lớp học 2 tầng 6 phòng Trường Tiểu học số 2 Tân Thủy</t>
  </si>
  <si>
    <t>3473/QĐ-UBND ngày 28/10/2016</t>
  </si>
  <si>
    <t>Nhà lớp học 2 tầng 8 phòng Trương Tiểu học Dương Thuỷ</t>
  </si>
  <si>
    <t>3524/QĐ-UBND ngày 31/10/2016</t>
  </si>
  <si>
    <t>Nhà làm việc Trường THPT Hoàng Hoa Thám</t>
  </si>
  <si>
    <t>3460/QĐ-UBND ngày 28/10/2016</t>
  </si>
  <si>
    <t>Cải tạo, nâng cấp, sửa chữa nhà làm việc của cán bộ, giảng viên; nhà nội trú học viên và khuôn viên Trường Chính trị tỉnh</t>
  </si>
  <si>
    <t>3491/QĐ-UBND ngày 28/10/2016</t>
  </si>
  <si>
    <t>Xây dựng nhà lớp học bộ môn Trường THPT Lê Quý Đôn</t>
  </si>
  <si>
    <t>Sửa chữa nhà 2 tầng 10 phòng Trường THCS &amp;THPT Trung Hóa</t>
  </si>
  <si>
    <t>Trường Mầm non Khu vực 2 Bưởi Rỏi xã Quảng Hợp, huyện Quảng Trạch (2 tầng 4 phòng)</t>
  </si>
  <si>
    <t>Nhà xưởng thực hành Trung tâm Giáo dục - Dạy nghề huyện Quảng Ninh</t>
  </si>
  <si>
    <t>Nhà hiệu bộ trường THCS xã Tân Thủy</t>
  </si>
  <si>
    <t>Trường tiểu học Phú Thủy (6 phòng)</t>
  </si>
  <si>
    <t>Trường Tiểu học Thanh Thủy (Nhà lớp học 2 tầng 6 phòng) xã Tiến Hóa, huyện Tuyên Hóa</t>
  </si>
  <si>
    <t>Trường THCS Bắc Dinh Thị trấn nông trường Việt Trung (6 phòng)</t>
  </si>
  <si>
    <t>Nhà lớp học 2 tầng Trường mầm non xã Quảng Văn</t>
  </si>
  <si>
    <t>Trường Mầm non Quảng Xuân (6 phòng)</t>
  </si>
  <si>
    <t>Xây dựng 8 phòng học 2 tầng Trường THCS Cự Nẫm</t>
  </si>
  <si>
    <t>Nhà lớp học 2 tầng 6 phòng Trường THCS xã Võ Ninh</t>
  </si>
  <si>
    <t>Nhà lớp học 2 tầng 6 phòng Trường Tiểu học xã Hàm Ninh</t>
  </si>
  <si>
    <t>Nhà hiệu bộ trường THCS Xuân Ninh</t>
  </si>
  <si>
    <t>323/QĐ-UBND ngày 9/5/2016</t>
  </si>
  <si>
    <t>Nhà lớp học 2 tầng 8 phòng Trường THCS Quảng Long</t>
  </si>
  <si>
    <t xml:space="preserve">Xây dựng nhà lớp học trường Mầm non xã Phù Hóa </t>
  </si>
  <si>
    <t>Nhà lớp học 2 tầng 6 phòng Trường MN Thị trấn Nông trường Lệ Ninh</t>
  </si>
  <si>
    <t>Trường THCS xã Quảng Lộc</t>
  </si>
  <si>
    <t>Nhà lớp học 6 phòng 2 tầng Trường THCS Quảng Thạch</t>
  </si>
  <si>
    <t>Nhà lớp học 2 tầng 6 phòng Trường TH Xuân Thủy</t>
  </si>
  <si>
    <t>Nhà đa năng trường THPT Lê Hồng Phong</t>
  </si>
  <si>
    <t>Trường MN mang tên Đại tướng Võ Nguyên Giáp</t>
  </si>
  <si>
    <t>Nhà phòng học THPT Lệ Thủy</t>
  </si>
  <si>
    <t>Xây dựng phòng học Trường Tiểu học Quảng Thuận</t>
  </si>
  <si>
    <t>TNMT</t>
  </si>
  <si>
    <t>Khởi công</t>
  </si>
  <si>
    <t/>
  </si>
  <si>
    <t>2015</t>
  </si>
  <si>
    <t>2014</t>
  </si>
  <si>
    <t>1968/QĐ-UBND ngày 16/8/2011</t>
  </si>
  <si>
    <t>273/QĐ-UBND ngày 27/01/2014</t>
  </si>
  <si>
    <t>1KH-CN</t>
  </si>
  <si>
    <t>2GDĐT</t>
  </si>
  <si>
    <t>3074a/QĐ-UBND ngày 30/10/2015</t>
  </si>
  <si>
    <t>2Nợ XDCB</t>
  </si>
  <si>
    <t>Khởi công Thực tế</t>
  </si>
  <si>
    <t>Hoàn thành Thực tế</t>
  </si>
  <si>
    <t>QĐ Chủ trương đầu tư</t>
  </si>
  <si>
    <t>QĐ Phê duyệt dự án</t>
  </si>
  <si>
    <t>Quảng Bình</t>
  </si>
  <si>
    <t>DA QT</t>
  </si>
  <si>
    <t>QĐ Quyết toán</t>
  </si>
  <si>
    <t>2704/QĐ-UBND ngày 07/9/2016</t>
  </si>
  <si>
    <t>QĐ QT số 3500/QĐ-UBND ngày 03/12/2014)</t>
  </si>
  <si>
    <t>12/2011</t>
  </si>
  <si>
    <t>4/2013</t>
  </si>
  <si>
    <t>3/2014</t>
  </si>
  <si>
    <t>Nghiệm thu</t>
  </si>
  <si>
    <t>10/2013</t>
  </si>
  <si>
    <t>QĐ số 500/QĐ-UBND ngày 29/02/2016)</t>
  </si>
  <si>
    <t>9/2015</t>
  </si>
  <si>
    <t>7/2015</t>
  </si>
  <si>
    <t>5/2016</t>
  </si>
  <si>
    <t xml:space="preserve">QĐ  số 2727/QĐ-UBND ngày 31/10/2013 </t>
  </si>
  <si>
    <t>QĐ số 1039/QĐ-UBND ngày 12/4/2016</t>
  </si>
  <si>
    <t>QĐ QT số 3344/QĐ-UBND ngày 20/11/2015</t>
  </si>
  <si>
    <t>4/2014</t>
  </si>
  <si>
    <t>2/2015</t>
  </si>
  <si>
    <t>QĐ QT số 2697/QĐ-UBND ngày 06/9/2016</t>
  </si>
  <si>
    <t>QĐ QT số 2999/QĐ-UBND ngày 25/10/2014)</t>
  </si>
  <si>
    <t>10/2012</t>
  </si>
  <si>
    <t>QĐ QT số 1653/QĐ-UBND ngày 25/6/2014</t>
  </si>
  <si>
    <t>5/2012</t>
  </si>
  <si>
    <t>3/2015</t>
  </si>
  <si>
    <t>2/2016</t>
  </si>
  <si>
    <t>Cung cấp BBNT</t>
  </si>
  <si>
    <t>5/2011</t>
  </si>
  <si>
    <t>12/2014</t>
  </si>
  <si>
    <t>8/2015</t>
  </si>
  <si>
    <t>3Hoàn thành</t>
  </si>
  <si>
    <t>4Chuyển tiếp</t>
  </si>
  <si>
    <t>5KCM</t>
  </si>
  <si>
    <t>5/2015</t>
  </si>
  <si>
    <t xml:space="preserve">QĐ số 3863/QĐ-UBND ngày 30/12/2015 </t>
  </si>
  <si>
    <t>4/2015</t>
  </si>
  <si>
    <t>QĐ số 658/QĐ-UBND ngày 14/3/2016</t>
  </si>
  <si>
    <t>Biên bản kiểm toán</t>
  </si>
  <si>
    <t>Trạm kiểm lâm Trộ Mợng</t>
  </si>
  <si>
    <t>2019</t>
  </si>
  <si>
    <t>3525/QĐ-UBND ngày 31/10/2016</t>
  </si>
  <si>
    <t xml:space="preserve">Khu cứu hộ động vật, thực vật hoang dã và mở rộng vườn thực vật </t>
  </si>
  <si>
    <t xml:space="preserve">Hệ thống sàn đạo và điện chiếu sáng động Phong Nha </t>
  </si>
  <si>
    <t>2020</t>
  </si>
  <si>
    <t>chưa</t>
  </si>
  <si>
    <t xml:space="preserve">chưa </t>
  </si>
  <si>
    <t>NT đưa vào sử dụng</t>
  </si>
  <si>
    <t>2901/QĐ-UBND ngày 16/10/2015</t>
  </si>
  <si>
    <t>2515/QĐ-UBND ngày 10/9/2015</t>
  </si>
  <si>
    <t>Trường tiểu học số 1 phường Ba Đồn (6 phòng)</t>
  </si>
  <si>
    <t>2667/QĐ-UBND ngày 29/09/2015</t>
  </si>
  <si>
    <t>3021/QĐ-UBND ngày 28/10/2015</t>
  </si>
  <si>
    <t>2534/QĐ-UBND ngày 15/09/2015</t>
  </si>
  <si>
    <t>2533/QĐ-UBND ngày 15/09/2015</t>
  </si>
  <si>
    <t>2880a/QĐ-UBND ngày 16/10/2015</t>
  </si>
  <si>
    <t>2665/QĐ-UBND ngày 29/09/2015</t>
  </si>
  <si>
    <t>2848/QĐ-UBND ngày 15/10/2015</t>
  </si>
  <si>
    <t>3082/QĐ-UBND ngày 30/10/2015</t>
  </si>
  <si>
    <t>3045/QĐ-UBND ngày 29/10/2015</t>
  </si>
  <si>
    <t>3081/QĐ-UBND ngày 30/10/2015</t>
  </si>
  <si>
    <t>3024/QĐ-UBND ngày 28/10/2015</t>
  </si>
  <si>
    <t>2432/QĐ-UBND ngày 12/08/2016</t>
  </si>
  <si>
    <t>2862/QĐ-UBND ngày 15/10/2015</t>
  </si>
  <si>
    <t>2514/QĐ-UBND ngày 10/09/2015</t>
  </si>
  <si>
    <t>2937/QĐ-UBND ngày 19/10/2015</t>
  </si>
  <si>
    <t>3025/QĐ-UBND ngày 28/10/2015</t>
  </si>
  <si>
    <t>3047/QĐ-UBND ngày 29/10/2015</t>
  </si>
  <si>
    <t>2433/QĐ-UBND ngày 12/08/2016</t>
  </si>
  <si>
    <t>2868/QĐ-UBND ngày 15/10/2015</t>
  </si>
  <si>
    <t>2912/QĐ-UBND ngày 16/10/2015</t>
  </si>
  <si>
    <t>3020/QĐ-UBND ngày 28/10/2015</t>
  </si>
  <si>
    <t>3129/QĐ-UBND ngày 11/10/2016</t>
  </si>
  <si>
    <t>3279/QĐ-UBND ngày 20/10/2016</t>
  </si>
  <si>
    <t>3297/QĐ-UBND ngày 21/10/2016</t>
  </si>
  <si>
    <t>3314/QĐ-UBND ngày 25/10/2016</t>
  </si>
  <si>
    <t>3298/QĐ-UBND ngày 21/10/2016</t>
  </si>
  <si>
    <t>3293/QĐ-UBND ngày 21/10/2016</t>
  </si>
  <si>
    <t>3368/QĐ-UBND ngày 26/10/2016</t>
  </si>
  <si>
    <t>2979/QĐ-UBND ngày 26/10/2015</t>
  </si>
  <si>
    <t>3326/QĐ-UBND ngày 25/10/2016</t>
  </si>
  <si>
    <t>3403/QĐ-UBND ngày 27/10/2016</t>
  </si>
  <si>
    <t>3462/QĐ-UBND ngày 28/10/2016</t>
  </si>
  <si>
    <t>3730/QĐ-UBND ngày 21/11/2016</t>
  </si>
  <si>
    <t>3112a/QĐ-UBND ngày 30/10/2015</t>
  </si>
  <si>
    <t>2807/QĐ-UBND ngày 13/10/2015</t>
  </si>
  <si>
    <t>3026/QĐ-UBND ngày 28/10/2015</t>
  </si>
  <si>
    <t>3054/QĐ-UBND ngày 29/10/2015</t>
  </si>
  <si>
    <t>3051/QĐ-UBND ngày 29/10/2015</t>
  </si>
  <si>
    <t>3046/QĐ-UBND ngày 29/10/2015</t>
  </si>
  <si>
    <t>2822/QĐ-UBND ngày 13/10/2015</t>
  </si>
  <si>
    <t>2985/QĐ-UBND ngày 26/10/2015</t>
  </si>
  <si>
    <t>3086/QĐ-UBND ngày 30/10/2015</t>
  </si>
  <si>
    <t>3631a/QĐ-UBND ngày 10/11/2016</t>
  </si>
  <si>
    <t>3686/QĐ-UBND ngày 16/11/2016</t>
  </si>
  <si>
    <t>3563/QĐ-UBND ngày 04/11/2016</t>
  </si>
  <si>
    <t>3710/QĐ-UBND ngày 18/11/2016</t>
  </si>
  <si>
    <t>3715/QĐ-UBND ngày 18/11/2016</t>
  </si>
  <si>
    <t>3711/QĐ-UBND ngày 18/11/2016</t>
  </si>
  <si>
    <t>2867/QĐ-UBND ngày 15/10/2015</t>
  </si>
  <si>
    <t>3712/QĐ-UBND ngày 18/11/2016</t>
  </si>
  <si>
    <t>CBĐT</t>
  </si>
  <si>
    <t>Khắc phục khẩn cấp tuyến đê kè thôn Tân Thượng, xã Quảng Hải, thị xã Ba Đồn</t>
  </si>
  <si>
    <t>3517/QĐ-UBND ngày 31/10/2016</t>
  </si>
  <si>
    <t>5</t>
  </si>
  <si>
    <t>TỔNG CỘNG</t>
  </si>
  <si>
    <t>Nhà lớp học chức năng khiêm thư viên, phòng truyền thống Trường THPT Nguyễn Trãi</t>
  </si>
  <si>
    <t>Đường ra biên giới từ bản Cà Roòng 2 đi cột mốc O4</t>
  </si>
  <si>
    <t>3134/QĐ-CT ngày 21/12/2012</t>
  </si>
  <si>
    <t>Trục đường chính Bắc-Nam rộng 60m, xã Bảo Ninh, TP. Đồng Hới (giai đoạn 1)</t>
  </si>
  <si>
    <t>2705/QĐ-UBND ngày 25/9/2009; 2622/QĐ-UBND ngày 25/10/2013</t>
  </si>
  <si>
    <t>Đường ngập lụt Trung Trạch - Hoàn Lão - Hoàn Trạch, huyện Bố Trạch</t>
  </si>
  <si>
    <t>156/QĐ-UBND ngày 25/01/2010;
1440/QĐ-UBND ngày 21/6/2011</t>
  </si>
  <si>
    <t xml:space="preserve"> QĐ số 2108/QĐ-UBND ngày 14/7/2016</t>
  </si>
  <si>
    <t>Đê bao Hói Sỏi từ Mỹ Trung đến cống Hói Sỏi huyện Quảng Nình</t>
  </si>
  <si>
    <t>TT</t>
  </si>
  <si>
    <t>Tổng cộng</t>
  </si>
  <si>
    <t>I</t>
  </si>
  <si>
    <t>II</t>
  </si>
  <si>
    <t>2391/QĐ-UBND ngày 09/10/2012; 1130/QĐ-UBND ngày 27/4/2015</t>
  </si>
  <si>
    <t>Sửa chữa, nâng cấp đường vào xã Hồng Thủy</t>
  </si>
  <si>
    <t>Nhà lớp học bộ môn 2 tầng 6 phòng trường THCS Phong Thủy</t>
  </si>
  <si>
    <t xml:space="preserve">Tổng cộng </t>
  </si>
  <si>
    <t>III</t>
  </si>
  <si>
    <t>Dự án Đường Lý Nam Đế, phường Đồng Phú</t>
  </si>
  <si>
    <t>Cầu đi bộ nối giữa 2 bờ mương Phóng Thủy tại vị trí giao nhau giữa đường Dương Văn An và đường Phan Bội Châu</t>
  </si>
  <si>
    <t>2161/QĐ--UBND ngày 25/6/2015</t>
  </si>
  <si>
    <t>320/QĐ--UBND ngày 03/2/2015</t>
  </si>
  <si>
    <t>3518/QĐ-UBND ngày 31/10/2016</t>
  </si>
  <si>
    <t>Kè chống xói lở sông Kiến Giang (Đoạn Phan Xá - Xuân Bồ)</t>
  </si>
  <si>
    <t>1852/QĐ-UBND
 ngày 3/8/2011;
3266/QĐ-UBND 
ngày 28/12/2012.</t>
  </si>
  <si>
    <t>2468/QĐ-UBND ngày 27/9/2011</t>
  </si>
  <si>
    <t>Trụ sở làm việc Đội quản lý thị trường số 4</t>
  </si>
  <si>
    <t>2778/QĐ-UBND ngày 25/10/2011; 1949/QĐ-CT ngày 21/8/2012</t>
  </si>
  <si>
    <t>254/QĐ-UBND ngày 29/01/2016</t>
  </si>
  <si>
    <t>3459/QĐ-UBND ngày 28/10/2016</t>
  </si>
  <si>
    <t>3404/QĐ-UBND ngày 26/11/2015</t>
  </si>
  <si>
    <t>Hệ thống thông tin kinh tế, xã hội tỉnh Quảng Bình</t>
  </si>
  <si>
    <t>Xây dựng phòng học, khuôn viên, hàng rào, công trình cấp nước trường THPT Lê Quý Đôn</t>
  </si>
  <si>
    <t>CÁC DỰ ÁN KHỞI CÔNG MỚI</t>
  </si>
  <si>
    <t>3496/QĐ-UBND ngày 28/10/2016</t>
  </si>
  <si>
    <t>Nhà tưởng niệm, lưu giữ hài cốt và nhà ở đoàn quy tập mộ liệt sỹ tại tỉnh Khăm Muộn, Cộng hòa Dân chủ nhân dân Lào thuộc Bộ Chỉ huy Quân sự tỉnh Quảng Bình</t>
  </si>
  <si>
    <t>Cộng hòa Dân chủ nhân dân Lào</t>
  </si>
  <si>
    <t>3521/QĐ-UBND ngày 31/10/2016</t>
  </si>
  <si>
    <t>Nâng cấp, sửa chữa Trụ sở làm việc cơ quan Huyện ủy Quảng Ninh</t>
  </si>
  <si>
    <t>1069/QĐ-UBND ngày 27/9/2016</t>
  </si>
  <si>
    <t>Sửa chữa đập Mũi Động, xã Dương Thủy</t>
  </si>
  <si>
    <t>Cải tạo Trụ sở làm việc Đảng ủy khối các cơ quan tỉnh</t>
  </si>
  <si>
    <t>3490/QĐ-UBND ngày 28/10/2016</t>
  </si>
  <si>
    <t>Cải tạo, sửa chữa khu giảng đường Trung tâm dịch vụ việc làm Quảng Bình.</t>
  </si>
  <si>
    <t>Đồng Hới</t>
  </si>
  <si>
    <t>Bê tông hóa đường GTNT xã Văn Hóa</t>
  </si>
  <si>
    <t>Khắc phục khẩn cấp tuyến đường ngập lụt nối từ đường tỉnh lộ 559 đi xã Quảng Hòa</t>
  </si>
  <si>
    <t>Đường Hà Thiệp - Bảo Ninh xã Võ Ninh, huyện Quảng Ninh (NS tỉnh hỗ trợ phần chi phí xây lắp 8.873 triệu đồng)</t>
  </si>
  <si>
    <t>2884/QĐ-UBND ngày 28/9/2016</t>
  </si>
  <si>
    <t>Kè chống sạt lở Khe Cát thôn Cừa Thôn và thôn Tân Hải xã Hải Ninh (GĐ 1)</t>
  </si>
  <si>
    <t>3806/QĐ-UBND ngày 30/11/2016</t>
  </si>
  <si>
    <t>Bố Trạch</t>
  </si>
  <si>
    <t>3486/QĐ-UBND ngày 28/10/2016</t>
  </si>
  <si>
    <t>Tuyến kênh kết hợp đường tránh lũ thôn Thượng Thôn, xã Quảng Trung (giai đoạn 1: 5.899 triệu đồng)</t>
  </si>
  <si>
    <t>Chợ thị trấn Nông trường Lệ Ninh</t>
  </si>
  <si>
    <t>Đường, kè chống xói lở ven biển xã Cảnh Dương</t>
  </si>
  <si>
    <t>3443/QĐ-UBND ngày 28/10/2016</t>
  </si>
  <si>
    <t>3514/QĐ-UBND ngày 31/10/2016</t>
  </si>
  <si>
    <t>3513/QĐ-UBND ngày 30/10/2016</t>
  </si>
  <si>
    <t>Nạo vét cục bộ cửa sông Nhật Lệ đoạn từ km0+350 - km0+950 đảm bảo thông luồng phục vụ tàu cá ra vào</t>
  </si>
  <si>
    <t>2780/QĐ-UBND ngày 06//10/2014</t>
  </si>
  <si>
    <t>LK vốn đã bố trí đến hết năm 2017</t>
  </si>
  <si>
    <t>Dự án dự kiến hoàn thành 2018</t>
  </si>
  <si>
    <t>Dự án chuyển tiếp</t>
  </si>
  <si>
    <t>Dự án khởi công mới 2018</t>
  </si>
  <si>
    <t>Dự án chuyển tiếp 2018</t>
  </si>
  <si>
    <t xml:space="preserve">Dùng nguồn của Cục đường thủy nội địa </t>
  </si>
  <si>
    <t>Đường tránh lũ bản Khe Dây đi bản Khe Ngang, xã Trường Xuân (NS tỉnh hỗ trợ chi phí XL)</t>
  </si>
  <si>
    <t>3785/QĐ-UBND ngày 25/10/2017</t>
  </si>
  <si>
    <t>2991/QĐ-UBND ngày 25/8/2017</t>
  </si>
  <si>
    <t>3892/QĐ-UBND ngày 30/10/2017</t>
  </si>
  <si>
    <t>3523/QĐ-UBND ngày 05/10/2017</t>
  </si>
  <si>
    <t>3893/QĐ-UBND ngày 30/10/2017</t>
  </si>
  <si>
    <t xml:space="preserve">Dự án chuyển tiếp </t>
  </si>
  <si>
    <t>2825/QĐ-UBND ngày 08/8/2017</t>
  </si>
  <si>
    <t>1881/QĐ-UBND ngày 29/5/2017</t>
  </si>
  <si>
    <t>Dự án khởi công mới năm 2018</t>
  </si>
  <si>
    <t>Đang bổ sung KH trung hạn</t>
  </si>
  <si>
    <t>Đang trình HĐND tỉnh bổ sung KH ĐTC trung hạn</t>
  </si>
  <si>
    <t>Phát triển công nghệ thông tin trong hoạt động của các cơ quan Đảng, Mặt trận, đoàn thể tỉnh Quảng Bình giai đoạn 2017-2020</t>
  </si>
  <si>
    <t>Xây dựng nhà quản lý và hành chính Bệnh viện Đa khoa huyện Lệ Thủy</t>
  </si>
  <si>
    <t>Chưa nộp lại CTĐT 40/60</t>
  </si>
  <si>
    <t>Lào</t>
  </si>
  <si>
    <t>Phương án phân bổ</t>
  </si>
  <si>
    <t>Phân bổ các lĩnh vực theo quy định</t>
  </si>
  <si>
    <t>Phân bổ các nhiệm vụ theo thứ tự ưu tiên</t>
  </si>
  <si>
    <t xml:space="preserve">Trả nợ XDCB </t>
  </si>
  <si>
    <t>Vốn đối ứng các dự án ODA</t>
  </si>
  <si>
    <t>Hỗ trợ cho các DN cung cấp hàng hóa, dịch vụ công ích</t>
  </si>
  <si>
    <t>Chuẩn bị đầu tư</t>
  </si>
  <si>
    <t>Bố trí các công trình chuyển tiếp, khởi công mới theo thứ tự ưu tiên</t>
  </si>
  <si>
    <t>Bố trí các dự án trọng điểm của tỉnh</t>
  </si>
  <si>
    <t>Trung tâm văn hóa tỉnh</t>
  </si>
  <si>
    <t>Trụ sở làm việc Huyện ủy Quảng Trạch</t>
  </si>
  <si>
    <t>Trụ sở làm việc UBND huyện Quảng Trạch</t>
  </si>
  <si>
    <t>Trụ sở làm việc Thành ủy Đồng Hới</t>
  </si>
  <si>
    <t>*</t>
  </si>
  <si>
    <t>Xây dựng khu tái định cư thôn Tân Hải và thôn Xuân Hải - Cừa Thôn, xã Hải Ninh, huyện Quảng Ninh</t>
  </si>
  <si>
    <t>Đã quyết toán</t>
  </si>
  <si>
    <t>Khoa học công nghệ</t>
  </si>
  <si>
    <t>Giáo dục đào tạo</t>
  </si>
  <si>
    <t>Y tế</t>
  </si>
  <si>
    <t>IV</t>
  </si>
  <si>
    <t>Hạ tầng CK Cha Lo</t>
  </si>
  <si>
    <t>V</t>
  </si>
  <si>
    <t>Đầu tư Phong Nha</t>
  </si>
  <si>
    <t>Nợ XDCB</t>
  </si>
  <si>
    <t>VI</t>
  </si>
  <si>
    <t>VII</t>
  </si>
  <si>
    <t>VIII</t>
  </si>
  <si>
    <t>ODA</t>
  </si>
  <si>
    <t>Các dự án trọng điểm</t>
  </si>
  <si>
    <t>X</t>
  </si>
  <si>
    <t>Các dự án chuyển tiếp</t>
  </si>
  <si>
    <t>XI</t>
  </si>
  <si>
    <t>Hỗ trợ DN cung cấp hàng hóa DV công ích</t>
  </si>
  <si>
    <t>Hỗ trợ ưu đãi ĐT</t>
  </si>
  <si>
    <t>Nhỏ lẻ</t>
  </si>
  <si>
    <t>Kè chống sạt lở khu dân cư dọc bờ sông Nan, thôn Linh Cận Sơn, xã Quảng Sơn (NS tỉnh hỗ trợ phần chi phí xây lắp 3.600 triệu đồng)</t>
  </si>
  <si>
    <t>3349/QĐ-UBND ngày 25/10/2016</t>
  </si>
  <si>
    <t>Nhà tưởng niệm, lưu giữ hài cốt và nhà ở đoàn quy tập mộ liệt sỹ tại tỉnh Khăm Muộn, Cộng hòa Dân chủ nhân dân Lào thuộc Bộ Chỉ huy Quân sự tỉnh Quảng Bình (gđ 2)</t>
  </si>
  <si>
    <t>Các dự án nằm trong kế hoạch đầu tư công trung hạn đã được HĐND tỉnh thông qua tại NQ 11</t>
  </si>
  <si>
    <t>Dự án đầu tư phát triển môi trường, hạ tầng đô thị để ứng phó với biến đổi khí hậu  thành phố Đồng Hới</t>
  </si>
  <si>
    <t>Hạ tầng cơ bản cho tăng trưởng toàn diện 4 tỉnh Nghệ An, Hà Tỉnh, Quảng Bình và Quảng Trị - Tiểu dự án Quảng Bình (ADB)</t>
  </si>
  <si>
    <t>Dự án đã phê duyệt đề nghị bổ sung trong kế hoạch đầu tư công trung hạn2016-2020</t>
  </si>
  <si>
    <t>Dự án hiện đại hóa lâm nghiệp và tăng cường tính chống chịu vùng ven biển tỉnh Quảng Bình</t>
  </si>
  <si>
    <t>Quyết định 548/QĐ-TTg ngày 21/4/2017; QĐ 1757QĐ-BNN-HTQT ngày 19/5/2017 và số 3983/QĐ-UBND ngày 2/11/2017</t>
  </si>
  <si>
    <t>Sở Giao thông Vận tải</t>
  </si>
  <si>
    <t>UBND huyện Quảng Trạch</t>
  </si>
  <si>
    <t>UBND tỉnh</t>
  </si>
  <si>
    <t>Sở Kế hoạch và Đầu tư</t>
  </si>
  <si>
    <t>Sở Nông nghiệp và PTNT</t>
  </si>
  <si>
    <t>Sở Tài nguyên - Môi trường</t>
  </si>
  <si>
    <t>Dự án khởi công mới</t>
  </si>
  <si>
    <t>3958/QĐ-UBND ngày 31/10/2017</t>
  </si>
  <si>
    <t>3974/QĐ-UBND ngày 31/10/2017</t>
  </si>
  <si>
    <t>San lấp mặt bằng, hạ tầng kỹ thuật - Trung tâm Giáo dục - Dạy nghề huyện Tuyên Hóa</t>
  </si>
  <si>
    <t>3430/QĐ-UBND ngày 29/9/2017</t>
  </si>
  <si>
    <t>3645/QĐ-UBND ngày 16/10/2017</t>
  </si>
  <si>
    <t>3944/QĐ-UBND ngày 31/10/2017</t>
  </si>
  <si>
    <t>3429/QĐ-UBND ngày 29/9/2017</t>
  </si>
  <si>
    <t>3118/QĐ-UBND ngày 05/9/2017</t>
  </si>
  <si>
    <t>3646/QĐ-UBND ngày 16/10/2017</t>
  </si>
  <si>
    <t>3926/QĐ-UBND ngày 30/10/2017</t>
  </si>
  <si>
    <t>3744/QĐ-UBND ngày 23/10/2017</t>
  </si>
  <si>
    <t>Nhà lớp học 2 tầng 8 phòng Trường THCS Thị trấn nông trường Lệ Ninh</t>
  </si>
  <si>
    <t>Đ/c thời gian KCM từ 2019 về 2018</t>
  </si>
  <si>
    <t>Nhà đa chức năng Trường THPT Quang Trung</t>
  </si>
  <si>
    <t>3881/QĐ-UBND ngày 30/10/2017</t>
  </si>
  <si>
    <t>Trường Mầm non xã Quảng Tân</t>
  </si>
  <si>
    <t>Bổ sung ngoài Nghị quyết số 11/2016/Q-HĐND</t>
  </si>
  <si>
    <t>KHĐTC 2016-2020</t>
  </si>
  <si>
    <t>Giai đoạn
2018-2020</t>
  </si>
  <si>
    <t>Số/Ngày</t>
  </si>
  <si>
    <t>Tỷ lệ</t>
  </si>
  <si>
    <t>Trong đó NS tỉnh</t>
  </si>
  <si>
    <t>Các dự án phân cấp về ngân sách tỉnh</t>
  </si>
  <si>
    <t>IX</t>
  </si>
  <si>
    <t>Nội dung</t>
  </si>
  <si>
    <t>Ngân sách tập trung</t>
  </si>
  <si>
    <t>Tỉnh phân bổ (60%)</t>
  </si>
  <si>
    <t>Huyện phân bổ (40%)</t>
  </si>
  <si>
    <t xml:space="preserve">Thu cấp quyền sử dụng đất </t>
  </si>
  <si>
    <t>Tỉnh phân bổ</t>
  </si>
  <si>
    <t>Nguồn Xổ số kiến thiết</t>
  </si>
  <si>
    <t>Các dự án đã có danh mục và số vốn trong KH ĐTC trung hạn</t>
  </si>
  <si>
    <t>Các dự án đã có danh mục trong KH ĐTC trung hạn nhưng chưa cân đối nguồn</t>
  </si>
  <si>
    <t>Các dự án chưa có danh mục trong KH ĐTC trung hạn</t>
  </si>
  <si>
    <t>Tỷ lệ (%)</t>
  </si>
  <si>
    <t>Trích DP KH ĐTC công 2017: 2 tỷ đồng, đã đủ vốn</t>
  </si>
  <si>
    <t>Hạ tầng và đường vào khu di tích lịch sử Hang Lèn Hà, xã Thanh Hóa, huyện Tuyên Hóa</t>
  </si>
  <si>
    <t>800/QĐ-UBND ngày 13/3/2017</t>
  </si>
  <si>
    <t>GPMB bố trí hết</t>
  </si>
  <si>
    <t>2508/QĐ-CT ngày 18/10/2012; 1105/QĐ-UBND ngày 25/4/2015</t>
  </si>
  <si>
    <t>Đã quyết toán chưa</t>
  </si>
  <si>
    <t>Phục vụ dự án FLC</t>
  </si>
  <si>
    <t>949/QĐ-UBND ngày 4/5/2010</t>
  </si>
  <si>
    <t xml:space="preserve">Nguồn thu phí Phong Nha và Cha Lo </t>
  </si>
  <si>
    <t>Nhà lớp học 12 phòng Trường THPT Lương Thế Vinh</t>
  </si>
  <si>
    <t>2 năm</t>
  </si>
  <si>
    <t>Huyện phân bổ</t>
  </si>
  <si>
    <t xml:space="preserve"> KH năm 2018</t>
  </si>
  <si>
    <t>STC cấp 600, giảm ĐTC</t>
  </si>
  <si>
    <t>3769/QĐ-UBND ngày 25/10/2007</t>
  </si>
  <si>
    <t>Đầu tư hạ tầng KKT cửa khẩu Cha Lo và các xã thuộc khu kinh tế</t>
  </si>
  <si>
    <t>Đầu tư các công trình tại Vườn QG Phong Nha - Kẻ Bàng</t>
  </si>
  <si>
    <t>Chương trình hỗ trợ nhà ở phòng chống bão lụt</t>
  </si>
  <si>
    <t>Hỗ trợ FLC</t>
  </si>
  <si>
    <t>1850/QĐ-UBND ngày 3/8/2011</t>
  </si>
  <si>
    <t xml:space="preserve"> 1661/QĐ-UBND ngày 14/7/2011; 3531/QĐ-UBND ngày 30/12/2011</t>
  </si>
  <si>
    <t>Đơn vị tính: Triệu đồng</t>
  </si>
  <si>
    <t>Địa điểm
xây dựng</t>
  </si>
  <si>
    <t>Dự phòng đối ứng ODA phát sinh</t>
  </si>
  <si>
    <t>Phân bổ sau</t>
  </si>
  <si>
    <t>Tăng (+)
Giảm (-)</t>
  </si>
  <si>
    <t>A</t>
  </si>
  <si>
    <t>PHƯƠNG ÁN PHÂN BỔ</t>
  </si>
  <si>
    <t>Lĩnh vực Giáo dục - Đào tạo</t>
  </si>
  <si>
    <t>Lĩnh vực Y tế</t>
  </si>
  <si>
    <t>Dự án hoàn thành 2019</t>
  </si>
  <si>
    <t>PL 10</t>
  </si>
  <si>
    <t>Trả nợ XDCB</t>
  </si>
  <si>
    <t>PL 5</t>
  </si>
  <si>
    <t>PL 6</t>
  </si>
  <si>
    <t>PL 7</t>
  </si>
  <si>
    <t>PL 8</t>
  </si>
  <si>
    <t>PL 9</t>
  </si>
  <si>
    <t>PL 11</t>
  </si>
  <si>
    <t>PL 12</t>
  </si>
  <si>
    <t>Dự phòng NSĐF</t>
  </si>
  <si>
    <t>PL 13</t>
  </si>
  <si>
    <t>PL 14</t>
  </si>
  <si>
    <t>PL 15</t>
  </si>
  <si>
    <t>PHỤ LỤC 13: CÁC CÔNG TRÌNH TRỌNG ĐIỂM</t>
  </si>
  <si>
    <t>PHỤ LỤC 12: CÁC CHƯƠNG TRÌNH MỤC TIÊU PHÂN CẤP VỀ NGÂN SÁCH TỈNH</t>
  </si>
  <si>
    <t>PHỤ LỤC 11:  ĐẦU TƯ CÁC CÔNG TRÌNH TẠI VƯỜN QUỐC GIA PHONG NHA - KẺ BÀNG</t>
  </si>
  <si>
    <t>PHỤ LỤC 10: ĐẦU TƯ HẠ TẦNG KHU KINH TẾ CỬA KHẨU CHA LO</t>
  </si>
  <si>
    <t xml:space="preserve">PHỤ LỤC 09: ĐỐI ỨNG CÁC DỰ ÁN ODA </t>
  </si>
  <si>
    <t>PHỤ LỤC 08:  TRẢ NỢ XÂY DỰNG CƠ BẢN</t>
  </si>
  <si>
    <t>PHỤ LỤC 07: LĨNH VỰC Y TẾ</t>
  </si>
  <si>
    <t>PHỤ LỤC 06: LĨNH VỰC GIÁO DỤC ĐÀO TẠO</t>
  </si>
  <si>
    <t>PHỤ LỤC 05: LĨNH VỰC KHOA HỌC CÔNG NGHỆ</t>
  </si>
  <si>
    <t>2556/QĐ-UBND ngày 17/7/2017</t>
  </si>
  <si>
    <t xml:space="preserve">Phòng Kinh tế bổ sung danh mục </t>
  </si>
  <si>
    <t>KH ĐTC 2018-2020 còn 500 tr nhưng sau khi quyết toán chỉ thiếu 209trđ</t>
  </si>
  <si>
    <t>KH ĐTC 2018-2020 còn 647 tr nhưng so với quyết toán chỉ thiếu 469trđ</t>
  </si>
  <si>
    <t>Trong KH trung hạn thuộc danh mục KCM 2018, dự án phê duyệt BCKTKT năm 2017 nhưng vẫn triển khai trong năm 2017, vốn tạm ứng từ nguồn dự phòng (sai nguyên tắc)</t>
  </si>
  <si>
    <t>XD Trụ sở làm việc Đội quản lý thị trường số 3</t>
  </si>
  <si>
    <t>3668/QĐ-UBND ngày 18/10/2017</t>
  </si>
  <si>
    <t>Thay đổi số vốn KH 2018-2020, số trước đây là 1973, xã đã bố trí vốn NTM là 300 triệu đồng, còn lại 1673</t>
  </si>
  <si>
    <t>KH ĐTC 2018-2020 còn 605 tr nhưng sau khi quyết toán chỉ thiếu 483trđ</t>
  </si>
  <si>
    <t>KH ĐTC 2018-2020 còn 1851, nay quyết toán giảm còn 1472</t>
  </si>
  <si>
    <t>KH ĐTC 2018-2020 còn 5010. Năm 2016 tạm ứng 3 tỷ đã hoàn ứng cuối năm và bố trí thêm từ nguồn vốn khác đủ vốn</t>
  </si>
  <si>
    <t>KH ĐTC 2018-2020 còn 2857. Năm 2016 tạm ứng 3 tỷ đã hoàn ứng cuối năm 2016 1,5 tỷ đồng nên giai đoạn 2018-2020 giảm 1,5 tỷ đồng</t>
  </si>
  <si>
    <t>TKH ĐTC 2018-2020 còn 1610, năm 2016 tạm ứng 1 tỷ đã hoàn ứng cuối năm nên gđ 2018-2020 giảm đi 1 tỷ</t>
  </si>
  <si>
    <t xml:space="preserve"> KH ĐTC 2018-2020 là 10160trđ.  Năm 2017 điều chỉnh tăng 1,764 tỷ đồng từ nguồn dự án Nạo vét cửa sông Nhật Lệ nên số vốn gđ 2018-2020 giảm 1,764</t>
  </si>
  <si>
    <t>Trạm y tế xã Quảng Lộc bỏ danh mục</t>
  </si>
  <si>
    <t>KL đ/c Bí thư chỉ đạo bố trí hết</t>
  </si>
  <si>
    <t>Dự án hoàn thành 2018</t>
  </si>
  <si>
    <t>Tiết kiệm 10%</t>
  </si>
  <si>
    <t>Dự án dự kiến hoàn thành 2019</t>
  </si>
  <si>
    <t>Dự án dự kiến hoàn thành 2020</t>
  </si>
  <si>
    <t>=IF(K10&lt;=1500;100;50)</t>
  </si>
  <si>
    <t>Dự án XD mới kho chứa hàng cứu trợ kết hợp Hội trường của UBMTTQ Việt Nam tỉnh Quảng Bình</t>
  </si>
  <si>
    <t>Lĩnh vực Khoa học - Công nghệ</t>
  </si>
  <si>
    <t>Huyện/Thị xã/Thành phố</t>
  </si>
  <si>
    <t>Trong đó:</t>
  </si>
  <si>
    <t>Vốn tập trung trong nước</t>
  </si>
  <si>
    <t>Vốn thu cấp quyền sử dụng đất</t>
  </si>
  <si>
    <t xml:space="preserve">TỔNG CỘNG </t>
  </si>
  <si>
    <t>Mức tối thiểu cho GD-ĐT và dạy nghề</t>
  </si>
  <si>
    <t>Mức tối thiểu cho Khoa học – công nghệ</t>
  </si>
  <si>
    <t xml:space="preserve">Thành phố Đồng Hới </t>
  </si>
  <si>
    <t>Trong đó:</t>
  </si>
  <si>
    <t xml:space="preserve">Huyện Minh Hóa </t>
  </si>
  <si>
    <t>Huyện Tuyên Hóa</t>
  </si>
  <si>
    <t>Huyện Quảng Trạch</t>
  </si>
  <si>
    <t>Thị xã Ba Đồn</t>
  </si>
  <si>
    <t>Huyện Bố Trạch</t>
  </si>
  <si>
    <t>Huyện Quảng Ninh</t>
  </si>
  <si>
    <t>Huyện Lệ Thủy</t>
  </si>
  <si>
    <r>
      <t xml:space="preserve">-       </t>
    </r>
    <r>
      <rPr>
        <i/>
        <sz val="12"/>
        <color theme="1"/>
        <rFont val="Times New Roman"/>
        <family val="1"/>
      </rPr>
      <t xml:space="preserve">Mức vốn tối thiểu cho GD-ĐT và dạy nghề </t>
    </r>
  </si>
  <si>
    <r>
      <t xml:space="preserve">-       </t>
    </r>
    <r>
      <rPr>
        <i/>
        <sz val="12"/>
        <color theme="1"/>
        <rFont val="Times New Roman"/>
        <family val="1"/>
      </rPr>
      <t>Mức vốn tối thiểu cho KH-CN</t>
    </r>
  </si>
  <si>
    <t>PHỤ LỤC 03: PHÂN BỔ VỐN CHO HUYỆN, THỊ XĂ, THÀNH PHỐ</t>
  </si>
  <si>
    <t>Hỗ trợ DN theo các chính sách ưu đãi của tỉnh và hỗ trợ các dự án PPP</t>
  </si>
  <si>
    <t>Phân bổ cho các CTMT phân cấp về NS tỉnh</t>
  </si>
  <si>
    <t>Trụ sở làm việc HĐND và UBND Thành phố Đồng Hới</t>
  </si>
  <si>
    <t>Trại thực nghiệm mặn lợ của Trung tâm giống thủy sản (GĐ1)</t>
  </si>
  <si>
    <t>Nguồn vốn tỉnh phân bổ</t>
  </si>
  <si>
    <t>Nguồn vốn giao cấp huyện phân bổ</t>
  </si>
  <si>
    <t>Tăng/Giảm</t>
  </si>
  <si>
    <t>3932/QĐ-UBND ngày 30/10/2017</t>
  </si>
  <si>
    <t>Cập nhật số QĐ</t>
  </si>
  <si>
    <t>1400/QĐ-UBND ngày 24/7/2017</t>
  </si>
  <si>
    <t>3227/QĐ-UBND ngày 14/9/2017</t>
  </si>
  <si>
    <t>Dự kiến trả nợ trong năm 2017</t>
  </si>
  <si>
    <t>Sửa thời gian thực hiện 2017-2018 (cũ 2017-2019), số vốn đã  bố trí 3365 (cũ 365), số vốn 2018-2020:  2521 (cũ 5521)</t>
  </si>
  <si>
    <t>1740/QĐ-UBND ngày 30/6/2014; 1886/QĐ-UBND ngày 29/5/2017</t>
  </si>
  <si>
    <t>sửa số vốn đã bố trí, số vốn 2018-2020: 721 triệu đồng (cũ là 2521)</t>
  </si>
  <si>
    <t>Dự án Đường điện cao thế, trung thế và trạm biến áp từ Quốc lộ 1A đi vùng nuôi tôm trên cát, xã Trung Trạch</t>
  </si>
  <si>
    <t>797/QĐ-UBND ngày 27/3/2015; 2599/QĐ-UBND ngày 21/7/2017</t>
  </si>
  <si>
    <t>Bổ sung danh mục theo chỉ đạo GĐ</t>
  </si>
  <si>
    <t>Sửa lại tổng số bố trí</t>
  </si>
  <si>
    <t>3867/QĐ-UBND ngày 30/10/2017</t>
  </si>
  <si>
    <t>3878/QĐ-UBND ngày 30/10/2017</t>
  </si>
  <si>
    <t>2143/QĐ-UBND ngày 19/6/2017</t>
  </si>
  <si>
    <t>3392/QĐ-UBND ngày 26/9/2017</t>
  </si>
  <si>
    <t>Cập nhật QĐ dự án</t>
  </si>
  <si>
    <t>3439/QĐ-UBND ngày 28/10/2017</t>
  </si>
  <si>
    <t>3845/QĐ-UBND ngày 30/10/2017</t>
  </si>
  <si>
    <t>Cập nhật số QĐ và TMĐT và tên dự án</t>
  </si>
  <si>
    <t>3859/QĐ-UBND ngày 30/10/2017</t>
  </si>
  <si>
    <t>3963/QĐ-UBND ngày 31/10/2017</t>
  </si>
  <si>
    <t>3241/QĐ-UBND ngày 18/9/2017</t>
  </si>
  <si>
    <t>3950/QĐ-UBND ngày 31/10/2017</t>
  </si>
  <si>
    <t>3566/QĐ-UBND ngày 09/7/2017</t>
  </si>
  <si>
    <t>3946/QĐ-UBND ngày 31/10/2017</t>
  </si>
  <si>
    <t>3947/QĐ-UB ND ngày 31/10/2017</t>
  </si>
  <si>
    <t>3843/QĐ-UBND ngày 30/10/2017</t>
  </si>
  <si>
    <t>3856/QĐ-UBND ngày 30/10/2017</t>
  </si>
  <si>
    <t>3934/QĐ-UBND ngày 30/10/2017</t>
  </si>
  <si>
    <t>3529/QĐ-UBND ngày 06/10/2017</t>
  </si>
  <si>
    <t>3688/QĐ-UBND ngày 16/10/2017</t>
  </si>
  <si>
    <t>3397/QĐ-UBND ngày 27/9/2017</t>
  </si>
  <si>
    <t>3002/QĐ-UBND ngày 25/10/2014</t>
  </si>
  <si>
    <t>3930/QĐ-UBND ngày 30/10/2017</t>
  </si>
  <si>
    <t>3962/QĐ-UBND ngày 31/10/2017</t>
  </si>
  <si>
    <t>3841/QĐ-UBND ngày 30/10/2017</t>
  </si>
  <si>
    <t>3949/QĐ-UBND ngày 31/10/2017</t>
  </si>
  <si>
    <t>3445/QĐ-UBND ngày 28/10/52016</t>
  </si>
  <si>
    <t>Bổ sung số QĐ, cập nhật số KH 2018-2020 (trừ CBĐT)</t>
  </si>
  <si>
    <t>Cập nhật KH 2018-2020, trừ CBĐT</t>
  </si>
  <si>
    <t>3857/QĐ-UBND ngày 30/10/2017</t>
  </si>
  <si>
    <t>Cập nhật số KH 2018-2020 (trừ CBĐT)</t>
  </si>
  <si>
    <t>Dự án Quần thể Tượng đài Chủ tịch Hồ Chí Minh</t>
  </si>
  <si>
    <t>3438/QĐ-UBND ngày 28/10/2016</t>
  </si>
  <si>
    <t>3437/QĐ-UBND ngày 28/10/2016</t>
  </si>
  <si>
    <t>Đầu tư tăng cường thiết bị lĩnh vực khoa học và công nghệ</t>
  </si>
  <si>
    <t>3848/QĐ-UBND ngày 30/10/2017</t>
  </si>
  <si>
    <t>Diệp điện hỏi CĐT, trên QLVB không có</t>
  </si>
  <si>
    <t>Cập nhật lại số vốn bố trí</t>
  </si>
  <si>
    <t>3605/QĐ-UBND ngày 12/10/2017</t>
  </si>
  <si>
    <t>A Hiếu VX cung cấp, trong QLVB chưa có</t>
  </si>
  <si>
    <t>Cập nhật số vốn bố trí</t>
  </si>
  <si>
    <t>3481/QĐ-UBND ngày 28/10/2016</t>
  </si>
  <si>
    <t>3830/QĐ-UBND ngày 27/10/2017</t>
  </si>
  <si>
    <t>Kế hoạch 2018 điều chỉnh/bổ sung</t>
  </si>
  <si>
    <t>Kế hoạch 2018 sau điều chỉnh</t>
  </si>
  <si>
    <t>LK vốn đã bố trí đến hết năm 2018</t>
  </si>
  <si>
    <t>Giai đoạn
2019-2020</t>
  </si>
  <si>
    <t>Kế hoạch 2019</t>
  </si>
  <si>
    <t>Đầu tư xây dựng Vườn thực nghiệm khoa học công nghệ và ứng dụng, phát triển công nghệ cao trong sản xuất và chế biến tại Trung tâm ứng dụng tiến bộ khoa học công nghệ</t>
  </si>
  <si>
    <t>Trung tâm ứng dụng và tiến bộ KHCN Quảng Bình</t>
  </si>
  <si>
    <t>K</t>
  </si>
  <si>
    <t>Đ/c Dũng PCT</t>
  </si>
  <si>
    <t>Xây dựng và áp dụng hệ thống ISO điện tử theo tiêu chuẩn TCVN 9001:2005 vào hoạt động của các cơ quan hành chính Nhà nước tỉnh Quảng Bình</t>
  </si>
  <si>
    <t>Sở Khoa học và Công nghệ</t>
  </si>
  <si>
    <t>P.VX : Đ/c Giám đốc</t>
  </si>
  <si>
    <t>Đầu tư nâng cấp Trung tâm dữ liệu điện tử và phần mềm theo dõi thực hiện nhiệm vụ</t>
  </si>
  <si>
    <t>3719/QĐ-UBND ngày 30/10/2018</t>
  </si>
  <si>
    <t>Sở Thông tin và Truyền thông</t>
  </si>
  <si>
    <t>Dự Khởi công mới năm 2019 (Đề nghị bổ sung trung hạn và bố trí từ năm 2019)</t>
  </si>
  <si>
    <t>PHỤ LỤC: KẾ HOẠCH ĐẦU TƯ CÔNG NĂM 2018 NGUỒN NGÂN SÁCH TỈNH</t>
  </si>
  <si>
    <t>(Kèm theo Quyết định số            /QĐ-UBND ngày      tháng 12 năm 2017 của UBND tỉnh Quảng Bình)</t>
  </si>
  <si>
    <t>Kế hoạch ĐTC 2018</t>
  </si>
  <si>
    <t>Chủ đầu tư</t>
  </si>
  <si>
    <t>QĐ Phê duyệt 
dự án</t>
  </si>
  <si>
    <t xml:space="preserve">
Tổng số
</t>
  </si>
  <si>
    <t xml:space="preserve">Tr.đó: 
NS tỉnh </t>
  </si>
  <si>
    <t>NGUỒN TẬP TRUNG TRONG NƯỚC</t>
  </si>
  <si>
    <t>Bố trí vốn chuẩn bị đầu tư</t>
  </si>
  <si>
    <t>Hỗ trợ cho các doanh nghiệp cung cấp hàng hóa, dịch vụ công ích</t>
  </si>
  <si>
    <t>Bố trí các công trình trọng điểm</t>
  </si>
  <si>
    <t>Văn phòng Tỉnh ủy</t>
  </si>
  <si>
    <t>Sở Văn hóa và Thể thao</t>
  </si>
  <si>
    <t>Huyện ủy Quảng Trạch</t>
  </si>
  <si>
    <t>Thành ủy Đồng Hới</t>
  </si>
  <si>
    <t>UBND TP Đồng Hới</t>
  </si>
  <si>
    <t>2014/QĐ-UBND ngày 05/8/2009</t>
  </si>
  <si>
    <t>BQL dự án đầu tư xây dựng công trình dân dụng và công nghiệp tỉnh</t>
  </si>
  <si>
    <t>Lĩnh vực khoa học công nghệ</t>
  </si>
  <si>
    <t>a</t>
  </si>
  <si>
    <t>Đầu tư nâng cấp, triển khai nhân rộng phần mềm một cửa liên thông và dịch vụ hành chính công tỉnh Quảng Bình (gđ1: 5930 triệu đồng)</t>
  </si>
  <si>
    <t>Dự án …</t>
  </si>
  <si>
    <t>Đài phát thanh và truyền hình Quảng Bình</t>
  </si>
  <si>
    <t>b</t>
  </si>
  <si>
    <t>Đầu tư nâng cấp hệ thống công nghệ thông tin phục vụ công tác chỉ đạo điều hành huyện ủy Quảng Ninh</t>
  </si>
  <si>
    <t>Văn phòng Huyện ủy Quảng Ninh</t>
  </si>
  <si>
    <t>3849/QĐ-UBND ngày 30/10/2017</t>
  </si>
  <si>
    <t>Trung tâm ứng dụng tiến bộ khoa học công nghệ</t>
  </si>
  <si>
    <t>Đầu tư bổ sung thiết bị kỹ thuật - Trung tâm Kỹ thuật Đo lường thử nghiệm</t>
  </si>
  <si>
    <t>Trung tâm Kỹ thuật Đo lường thử nghiệm</t>
  </si>
  <si>
    <t>Phát triển công nghệ thông tin trong hoạt động của các cơ quan Đảng, Mặt trận, Đoàn thể tỉnh Quảng Bình giai đoạn 2017-2020</t>
  </si>
  <si>
    <t>Đầu tư tăng cường thiết bị lĩnh vực Khoa học và Công nghệ</t>
  </si>
  <si>
    <t>Lĩnh vực giáo dục đào tạo</t>
  </si>
  <si>
    <t>UBND thị trấn Đồng Lê</t>
  </si>
  <si>
    <t>UBND phường Ba Đồn</t>
  </si>
  <si>
    <t>Nhà phòng học bộ môn Trường THPT số 5 Bố Trạch (nay là Trường THPT Ngô Quyền)</t>
  </si>
  <si>
    <t>Trường THPT Ngô Quyền</t>
  </si>
  <si>
    <t>CĐT ghi là số 5 Bố Trạch hay là Ngô Quyền</t>
  </si>
  <si>
    <t>Trường THPT Hùng Vương</t>
  </si>
  <si>
    <t>UBND xã Lý Trạch</t>
  </si>
  <si>
    <t>UBND thị trấn Quán Hàu</t>
  </si>
  <si>
    <t>Trường THPT Lê Lợi</t>
  </si>
  <si>
    <t>UBND xã Quảng Lưu</t>
  </si>
  <si>
    <t>UBND xã Hồng Thủy</t>
  </si>
  <si>
    <t>UBND xã Hương Hóa</t>
  </si>
  <si>
    <t>UBND xã Thái Thủy</t>
  </si>
  <si>
    <t>UBND xã Tân Ninh</t>
  </si>
  <si>
    <t>Trường THCS&amp;THPT Hóa Tiến</t>
  </si>
  <si>
    <t>Trường THPT Hoàng Hoa Thám</t>
  </si>
  <si>
    <t>Trường THPT Lê Trực</t>
  </si>
  <si>
    <t>UBND xã Xuân Ninh</t>
  </si>
  <si>
    <t>UBND phường Quảng Long</t>
  </si>
  <si>
    <t>UBND xã Sơn Thủy</t>
  </si>
  <si>
    <t>Trường THPT Chuyên Võ Nguyên Giáp</t>
  </si>
  <si>
    <t>Trường THPT Trần Hưng Đạo</t>
  </si>
  <si>
    <t>UBND xã Liên Thủy</t>
  </si>
  <si>
    <t>UBND xã Trường Thủy</t>
  </si>
  <si>
    <t>UBND xã Quảng Tiến</t>
  </si>
  <si>
    <t>UBND xã Văn Hóa</t>
  </si>
  <si>
    <t>UBND xã Mỹ Thủy</t>
  </si>
  <si>
    <t>UBND xã Đức Trạch</t>
  </si>
  <si>
    <t>UBND xã Quảng Liên</t>
  </si>
  <si>
    <t>UBND xã Tân Thủy</t>
  </si>
  <si>
    <t>UBND xã Quảng Hải</t>
  </si>
  <si>
    <t>UBND xã Quảng Trung</t>
  </si>
  <si>
    <t>UBND Thị trấn Quán Hàu</t>
  </si>
  <si>
    <t>UBND phường Bắc Lý</t>
  </si>
  <si>
    <t>Trường THPT Trần Phú (6 phòng)</t>
  </si>
  <si>
    <t>Trường THPT Trần Phú</t>
  </si>
  <si>
    <t>UBND xã Quảng Trường</t>
  </si>
  <si>
    <t>UBND xã Thanh Thủy</t>
  </si>
  <si>
    <t>Trung tâm Bồi dưỡng chính trị huyện Quảng Ninh</t>
  </si>
  <si>
    <t>UBND xã Duy Ninh</t>
  </si>
  <si>
    <t>Nhà lớp học 2 tầng 8 phòng Trương Tiểu học số 1 Võ Ninh</t>
  </si>
  <si>
    <t>UBND xã Võ Ninh</t>
  </si>
  <si>
    <t>Trường THPT Ninh Châu</t>
  </si>
  <si>
    <t>UBND xã Nam Hóa</t>
  </si>
  <si>
    <t>Nhà lơp học 2 tầng 8 phòng Trường Tiểu học Vĩnh Ninh</t>
  </si>
  <si>
    <t>UBND huyện Quảng Ninh</t>
  </si>
  <si>
    <t>UBND xã Dương Thủy</t>
  </si>
  <si>
    <t>UBND xã Quảng Phú</t>
  </si>
  <si>
    <t>UBND xã Lộc Thủy</t>
  </si>
  <si>
    <t>UBND xã An Thủy</t>
  </si>
  <si>
    <t>Trường Phổ thông Dân tộc nội trú Minh Hóa</t>
  </si>
  <si>
    <t>Nhà lơp học 2 tầng 8 phòng Trường Tiểu học Hiền Ninh</t>
  </si>
  <si>
    <t>UBND phường Quảng Thọ</t>
  </si>
  <si>
    <t>UBND xã Cảnh Dương</t>
  </si>
  <si>
    <t>UBND xã Đức Ninh</t>
  </si>
  <si>
    <t>UBND xã Văn Thủy</t>
  </si>
  <si>
    <t>UBND xã Đồng Hóa</t>
  </si>
  <si>
    <t>Trường THPT Lương Thế Vinh</t>
  </si>
  <si>
    <t xml:space="preserve">Trường Phổ thông Dân tộc nội trú Lệ Thủy </t>
  </si>
  <si>
    <t>Nhà lơp học 2 tầng 8 phòng Trường Mầm non Gia Ninh</t>
  </si>
  <si>
    <t>UBND xã Gia Ninh</t>
  </si>
  <si>
    <t>Trường Chính trị tỉnh</t>
  </si>
  <si>
    <t>c</t>
  </si>
  <si>
    <t>UBND xã Cự Nẫm</t>
  </si>
  <si>
    <t xml:space="preserve">Trường Tiểu học Bắc Dinh thị trấn Nông trường Việt Trung  (6 phòng) </t>
  </si>
  <si>
    <t>UBND Thị trấn Nông trường Việt Trung</t>
  </si>
  <si>
    <t>UBND xã Quảng Lộc</t>
  </si>
  <si>
    <t>UBND phường Quảng Thuận</t>
  </si>
  <si>
    <t>UBND xã Phú Thủy</t>
  </si>
  <si>
    <t>UBND xã Hàm Ninh</t>
  </si>
  <si>
    <t>UBND xã Quảng Thạch</t>
  </si>
  <si>
    <t>UBND xã Tiến Hóa</t>
  </si>
  <si>
    <t>Trường MN (khu vực Liên Hòa) xã Nam Trạch, huyện Bố Trạch</t>
  </si>
  <si>
    <t>UBND xã Nam Trạch</t>
  </si>
  <si>
    <t>3688/QĐ-UBND ngày 19/10/2017</t>
  </si>
  <si>
    <t>UBND xã Xuân Thủy</t>
  </si>
  <si>
    <t>UBND xã Quảng Hợp</t>
  </si>
  <si>
    <t>3955/QĐ-UBND ngày 31/10/2017</t>
  </si>
  <si>
    <t>UBND xã Quảng Tân</t>
  </si>
  <si>
    <t xml:space="preserve"> Trường THPT Lê Quý Đôn</t>
  </si>
  <si>
    <t>Trường Tiểu học số 1 Quảng Phong (8 phòng)</t>
  </si>
  <si>
    <t>UBND phường Quảng Phong</t>
  </si>
  <si>
    <t>UBND xã Phong Thủy</t>
  </si>
  <si>
    <t>Trường THPT Lệ Thủy</t>
  </si>
  <si>
    <t>UBND xã Phù Hóa</t>
  </si>
  <si>
    <t>UBND xã Quảng Văn</t>
  </si>
  <si>
    <t>UBND Thị trấn Nông trường Lệ Ninh</t>
  </si>
  <si>
    <t>UBND xã Quảng Xuân</t>
  </si>
  <si>
    <t>Trường THPT Lê Hồng Phong</t>
  </si>
  <si>
    <t>Trường THPT Quang Trung</t>
  </si>
  <si>
    <t>Trung tâm Giáo dục - Dạy nghề huyện Tuyên Hóa</t>
  </si>
  <si>
    <t>Trung tâm Giáo dục - Dạy nghề huyện Quảng Ninh</t>
  </si>
  <si>
    <t xml:space="preserve"> Trường THPT Nguyễn Trãi</t>
  </si>
  <si>
    <t>Cải tạo, sửa chữa Phòng khám đa khoa khu vực Hóa Tiến</t>
  </si>
  <si>
    <t>Bệnh viện đa khoa huyện Minh Hóa</t>
  </si>
  <si>
    <t>UBND huyện Tuyên Hóa</t>
  </si>
  <si>
    <t>Sửa chữa nâng cấp cụm hồ huyện Quảng Ninh (hồ Điều Gà)</t>
  </si>
  <si>
    <t>Chi cục Kiểm lâm tỉnh</t>
  </si>
  <si>
    <t>TT Nước sạch và VSMT nông thôn</t>
  </si>
  <si>
    <t>UBND huyện Bố Trạch</t>
  </si>
  <si>
    <t xml:space="preserve"> 1661/QĐ-UBND ngày 14/7/2011;3531/QĐ-UBND ngày 30/12/2011</t>
  </si>
  <si>
    <t>2780 ngày 06//10/2014</t>
  </si>
  <si>
    <t>Các chương trình mục tiêu phân cấp về ngân sách tỉnh</t>
  </si>
  <si>
    <t>UBND huyện Minh Hóa</t>
  </si>
  <si>
    <t xml:space="preserve">Các dự án chuyển tiếp </t>
  </si>
  <si>
    <t>B</t>
  </si>
  <si>
    <t>NGUỒN THU CẤP QUYỀN SỬ DỤNG ĐẤT</t>
  </si>
  <si>
    <t>Hỗ trợ DN theo các chính sách ưu đãi của tỉnh và hỗ trợ các dự án PPP (đối tác công tư)</t>
  </si>
  <si>
    <t>I.1</t>
  </si>
  <si>
    <t>I.2</t>
  </si>
  <si>
    <t>Đối ứng các dự án ODA</t>
  </si>
  <si>
    <t>II.1</t>
  </si>
  <si>
    <t>Bố trí cho các dự án</t>
  </si>
  <si>
    <t>Dự án phát triển nông thôn bền vững vì người nghèo tỉnh Quảng Bình (IFAD)</t>
  </si>
  <si>
    <t>II.2</t>
  </si>
  <si>
    <t>III.1</t>
  </si>
  <si>
    <t>Bố trí các dự án</t>
  </si>
  <si>
    <t>1850/QĐ-UBND, ngày 3/8/2011</t>
  </si>
  <si>
    <t>Công ty TNHH 1 TV Khai thác công trình thủy lợi</t>
  </si>
  <si>
    <t>Trung tâm giống thủy sản Quảng Bình</t>
  </si>
  <si>
    <t>Chi cục Thủy lợi và Phòng chống lụt bão</t>
  </si>
  <si>
    <t>Đ/c tăng giảm. Bố trí FLC kéo dài 2017: 2,258 tỷ</t>
  </si>
  <si>
    <t>Bố trí FLC kéo dài 2017: 3,690 tỷ</t>
  </si>
  <si>
    <t>BCH Biên phòng tỉnh</t>
  </si>
  <si>
    <t>Bố trí dự phòng kéo dài 2017: 4,654 tỷ</t>
  </si>
  <si>
    <t>BCH Quân sự tỉnh</t>
  </si>
  <si>
    <t>Bố trí FLC kéo dài 2017: 3,993 tỷ, FLC 2018 1,257 tỷ</t>
  </si>
  <si>
    <t>Kè chống sạt lở Mỹ Thuỷ-Liên Thuỷ, huyện Lệ Thuỷ</t>
  </si>
  <si>
    <t>UBND huyện Lệ Thủy</t>
  </si>
  <si>
    <t>Bố trí FLC kéo dài 2017: 725 triệu, bố trí dự phòng 2017: 3,319 tỷ</t>
  </si>
  <si>
    <t>III.2</t>
  </si>
  <si>
    <t>Trả nợ nhỏ lẻ các dự án hoàn thành, quyết toán hàng năm</t>
  </si>
  <si>
    <t>Dự án hoàn thành năm 2017 trở về trước</t>
  </si>
  <si>
    <t>Chi cục quản lý thị trường</t>
  </si>
  <si>
    <t>UBND thành phố Đồng Hới</t>
  </si>
  <si>
    <t>Bố trí thêm DP 2016 1,4 tỷ</t>
  </si>
  <si>
    <t xml:space="preserve">Hội Liên hiệp phụ nữ tỉnh Quảng Bình </t>
  </si>
  <si>
    <t>UBND thị xã Ba Đồn</t>
  </si>
  <si>
    <t>Bố trí FLC 2018: 1 tỷ</t>
  </si>
  <si>
    <t>UBND xã Quảng Tiên</t>
  </si>
  <si>
    <t>Xem lại số vốn bố trí</t>
  </si>
  <si>
    <t>UBND xã Hiền Ninh</t>
  </si>
  <si>
    <t>UBND xã Quảng Phương</t>
  </si>
  <si>
    <t>Sở Du lịch</t>
  </si>
  <si>
    <t>CHDC nhân dân Lào</t>
  </si>
  <si>
    <t xml:space="preserve"> Bộ Chỉ huy Quân sự tỉnh Quảng Bình</t>
  </si>
  <si>
    <t>Công ty TNHH 1 TV MT và PT Đô thị Quảng Bình</t>
  </si>
  <si>
    <t>2018</t>
  </si>
  <si>
    <t>Sở Công Thương</t>
  </si>
  <si>
    <t>01/QĐ-UBND ngày 04/01/2016; 4367/QĐ-UBND ngày 01/12/2017</t>
  </si>
  <si>
    <t>Công an tỉnh</t>
  </si>
  <si>
    <t>534/QĐ-UBND ngày 14/6/2017</t>
  </si>
  <si>
    <t>UBND xã Hải Ninh</t>
  </si>
  <si>
    <t>VP Huyện ủy Quảng Ninh</t>
  </si>
  <si>
    <t>Trung tâm Công viên Cây xanh Đồng Hới</t>
  </si>
  <si>
    <t>Bố trí FLC 2018: 1,321 tỷ</t>
  </si>
  <si>
    <t>3490/QĐ-UBND ngày 28/10/2016</t>
  </si>
  <si>
    <t>Đảng ủy khối các cơ quan tỉnh</t>
  </si>
  <si>
    <t>Bố trí FLC 2018: 1,416 tỷ</t>
  </si>
  <si>
    <t>Điện chiếu sáng đường Lê Lợi - Đường Chu Văn An, Thị xã Ba Đồn</t>
  </si>
  <si>
    <t>Bố trí FLC 2018: 1,63 tỷ</t>
  </si>
  <si>
    <t>Bố trí FLC 2018: 1,75 tỷ</t>
  </si>
  <si>
    <t>Trung tâm dịch vụ việc làm Quảng Bình.</t>
  </si>
  <si>
    <t>UBND xã Quảng Châu</t>
  </si>
  <si>
    <t>3514/QĐ-UBND ngày 30/10/2016</t>
  </si>
  <si>
    <t>3496/QĐ-UBND ngày 28/10//2016</t>
  </si>
  <si>
    <t>Bố trí nguồn vượt thu năm 2018</t>
  </si>
  <si>
    <t>Đường ngập lụt cứu hộ, cứu nạn từ Ba Trại đi xã Liên Trạch, huyện Bố Trạch</t>
  </si>
  <si>
    <t>d</t>
  </si>
  <si>
    <t>Tỉnh đoàn Quảng Bình</t>
  </si>
  <si>
    <t>bố trí FLC 2018: 1,387 tỷ</t>
  </si>
  <si>
    <t xml:space="preserve">Kè cửa sông biển Nhật Lệ </t>
  </si>
  <si>
    <t>1701/QĐ-UBND ngày 30/6/2014</t>
  </si>
  <si>
    <t>TMĐT đ/c và số QĐ đ/c</t>
  </si>
  <si>
    <t>Các dự án khởi công mới năm 2018</t>
  </si>
  <si>
    <t>Cơ sở làm việc Đội cảnh sát PCCC và CNCH Bắc Quảng Bình</t>
  </si>
  <si>
    <t>3975/QĐ-UBND ngày 31/10/2017</t>
  </si>
  <si>
    <t>bố trí FLC  2018: 1,500 tỷ</t>
  </si>
  <si>
    <t>Mở rộng, cải tạo trụ sở làm việc Sở Tư pháp</t>
  </si>
  <si>
    <t>Sở Tư pháp</t>
  </si>
  <si>
    <t>bố trí FLC  2018: 1,850 tỷ</t>
  </si>
  <si>
    <t>3957/QĐ-UBND ngày 30/10/2017</t>
  </si>
  <si>
    <t>Bộ chỉ huy QS tỉnh</t>
  </si>
  <si>
    <t>bố trí FLC kéo dài 2017</t>
  </si>
  <si>
    <t>2636/QĐ-UBND ngày 25/7/2017</t>
  </si>
  <si>
    <t>Ủy ban MTTQVN tỉnh</t>
  </si>
  <si>
    <t>bố trí FLC  2018: 1,75 tỷ</t>
  </si>
  <si>
    <t>3687/QĐ-UBND ngày 19/10/2017</t>
  </si>
  <si>
    <t>3439/QĐ-UBND ngày 28/10/2016</t>
  </si>
  <si>
    <t>3854/QĐ-UBND ngày 30/10/2017</t>
  </si>
  <si>
    <t>Chi cục quản lý thị trường tỉnh</t>
  </si>
  <si>
    <t>Xây dựng nút giao thông giao cắt giữa QL1 với tuyến đường từ Quốc lộ 1 đi Bàu Sen</t>
  </si>
  <si>
    <t>3851/QĐ-UBND ngày 30/10/2017</t>
  </si>
  <si>
    <t>UBND thị trấn NT Lệ Ninh</t>
  </si>
  <si>
    <t>3929a/QĐ-UBND ngày 30/10/2017</t>
  </si>
  <si>
    <t>XD Hạ tầng khu nghĩa địa phục vụ GPMB khu CN Tây Bắc Quán Hàu (GĐ2- khu B)</t>
  </si>
  <si>
    <t>Kè chống sạt lở bờ sông xã Phong Hóa, huyện Tuyên Hóa</t>
  </si>
  <si>
    <t>Đường giao thông liên xã Nam Hóa - Thạch Hóa, huyện Tuyên Hóa</t>
  </si>
  <si>
    <t>Đường liên xã Thuận Hóa - Kim Hóa huyện Tuyên Hóa</t>
  </si>
  <si>
    <t>Tuyến điện chiếu sáng từ trạm thu phí Quán Hàu đến khu vực dự án Quần thể resort, biệt thự, nghỉ dưỡng và giải trí cao cấp FLC Quảng Bình</t>
  </si>
  <si>
    <t>3846/QĐ-UBND ngày 30/10/2017</t>
  </si>
  <si>
    <t>C</t>
  </si>
  <si>
    <t>NGUỒN VỐN XỔ SỐ KIẾN THIẾT</t>
  </si>
  <si>
    <t>UBND phường Đồng Phú</t>
  </si>
  <si>
    <t>UBND xã Trường Sơn</t>
  </si>
  <si>
    <t>UBND xã Hải Trạch</t>
  </si>
  <si>
    <t>UBND xã Tân Hóa</t>
  </si>
  <si>
    <t>Trường Tiểu học xã Quảng Sơn (6 phòng)</t>
  </si>
  <si>
    <t>UBND xã Quảng Sơn</t>
  </si>
  <si>
    <t>UBND xã Phúc Trạch</t>
  </si>
  <si>
    <t>UBND xã Ngư Thủy Trung</t>
  </si>
  <si>
    <t>Trường THPT số 3 Bố Trạch</t>
  </si>
  <si>
    <t>Trường PT Dân tộc nội trú tỉnh</t>
  </si>
  <si>
    <t>Dự án chuyển tiếp hoàn thành 2019</t>
  </si>
  <si>
    <t>UBND xã Phong Hóa</t>
  </si>
  <si>
    <t>UBND xã Nhân Trạch</t>
  </si>
  <si>
    <t>UBND xã Ngư Thủy Bắc</t>
  </si>
  <si>
    <t>Trường THPT Phan Bội Châu</t>
  </si>
  <si>
    <t>Sữa chữa khu Hiệu bộ Trường THPT Tuyên Hóa</t>
  </si>
  <si>
    <t>Trường THPT Tuyên Hóa</t>
  </si>
  <si>
    <t>Trường THCS &amp;THPT Trung Hóa</t>
  </si>
  <si>
    <t>UBND thị trấn Nông trường Lệ Ninh</t>
  </si>
  <si>
    <t>Dự án hoàn thành năm 2018</t>
  </si>
  <si>
    <t>Sở Y tế</t>
  </si>
  <si>
    <t xml:space="preserve">Trung tâm chăm sóc phục hồi chức năng cho người tâm thần </t>
  </si>
  <si>
    <t>Trung tâm chăm sóc và phục hồi chức năng cho người tâm thần</t>
  </si>
  <si>
    <t xml:space="preserve"> 2124/QĐ-UBND ngày 05/9/2013; 3624/QĐ-UBND
 ngày 13/10/2017</t>
  </si>
  <si>
    <t>Bệnh viện Đa khoa huyện Quảng Ninh</t>
  </si>
  <si>
    <t>Trung tâm Y tế dự phòng huyện Quảng Ninh</t>
  </si>
  <si>
    <t>Bố trí FLC 2018: 1,625 tỷ</t>
  </si>
  <si>
    <t>Tỉnh hội nạn nhân chất độc da cam/dioxin</t>
  </si>
  <si>
    <t>Khối nhà điều trị người bệnh nội trú- Bệnh viện đa khoa khu vực Bắc Quảng Bình</t>
  </si>
  <si>
    <t>3445/QĐ-UBND ngày 28/10/2016</t>
  </si>
  <si>
    <t>Bệnh viện đa khoa khu vực Bắc Quảng Bình</t>
  </si>
  <si>
    <t>Nhà điều trị bệnh nhân Bệnh viện đa khoa huyện Bố Trạch</t>
  </si>
  <si>
    <t>Bệnh viện đa khoa huyện Bố Trạch</t>
  </si>
  <si>
    <t>Cải tạo, nâng cấp bệnh viện Y học cổ truyền tỉnh</t>
  </si>
  <si>
    <t>Bệnh viện Y học cổ truyền tỉnh</t>
  </si>
  <si>
    <t>3954/QĐ-UBND ngày 31/10/2017</t>
  </si>
  <si>
    <t>Bệnh viện Đa khoa huyện Lệ Thủy</t>
  </si>
  <si>
    <t>D</t>
  </si>
  <si>
    <t>NGUỒN THU PHÍ PHONG NHA VÀ CHA LO</t>
  </si>
  <si>
    <t>Đầu tư hạ tầng khu kinh tế Cha Lo và các xã thuộc Khu kinh tế Cha Lo</t>
  </si>
  <si>
    <t>BQL Khu Kinh tế</t>
  </si>
  <si>
    <t>Đầu tư các công trình tại Vườn Quốc gia Phong Nha - Kẻ Bàng</t>
  </si>
  <si>
    <t>Ban quản lý VQG Phong Nha - Kẻ Bàng</t>
  </si>
  <si>
    <t>Công trình khởi công mới</t>
  </si>
  <si>
    <t>3853/QĐ-UBND ngày 30/10/2017</t>
  </si>
  <si>
    <t>3852/QĐ-UBND ngày 30/10/2017</t>
  </si>
  <si>
    <t>Bố trí các công trình chuyển tiếp trên địa bàn tỉnh</t>
  </si>
  <si>
    <t>UBND phường Quảng Phúc</t>
  </si>
  <si>
    <t>Dự án chuyển tiếp hoàn thành năm 2019</t>
  </si>
  <si>
    <t>3514/QĐ-UBND ngày 31/10/2010</t>
  </si>
  <si>
    <t>Đ/c tăng giảm.
Bố trí FLC 2018: 1,35 tỷ</t>
  </si>
  <si>
    <t>Sở Công thương</t>
  </si>
  <si>
    <t>Tên cũ Trường THPT số 3 Bố Trạch (6 phòng học)</t>
  </si>
  <si>
    <t>Dự án Khởi công mới  năm 2019</t>
  </si>
  <si>
    <t xml:space="preserve">Nhà lớp học và chức năng 2 tầng 8 phòng trường Tiểu học Hải Thành </t>
  </si>
  <si>
    <t>P.VX
đề xuất bố trí</t>
  </si>
  <si>
    <t>UBND phường Hải Thành</t>
  </si>
  <si>
    <t>Có trong KH trung hạn, phê duyệt CTĐT từ 2015</t>
  </si>
  <si>
    <t>2820/QĐ-UBND ngày 13/10/2015; 2358/QĐ-UBND ngày 18/7/2018</t>
  </si>
  <si>
    <t>Nhà lớp học 6 phòng, cổng và hàng rào Trường Tiểu học số 1 xã An Ninh</t>
  </si>
  <si>
    <t>3964/QĐ-UBND ngày 31/10/2017</t>
  </si>
  <si>
    <t>UBND xã An Ninh</t>
  </si>
  <si>
    <t>Đ/c Giám đốc, phê duyệt CTĐT từ năm 2017</t>
  </si>
  <si>
    <t>3666/QĐ-UBND ngày 18/10/2017</t>
  </si>
  <si>
    <t>Trường Tiểu học xã Quảng Sơn (8 phòng)</t>
  </si>
  <si>
    <t>Đ/c Giám đốc, phê duyệt CTĐT từ năm 2016</t>
  </si>
  <si>
    <t>4160/QĐ-UBND ngày 28/11/2016; 3367/QĐ-UBND ngày 10/10/2018</t>
  </si>
  <si>
    <t>Nhà thư viện, phòng học bộ môn Trường THCS xã Thanh Trạch</t>
  </si>
  <si>
    <t>3679/QĐ-UBND ngày 29/10/2018</t>
  </si>
  <si>
    <t>UBND xã Thanh Trạch</t>
  </si>
  <si>
    <t>có trong KH trung hạn, phê duyệt CTĐT từ năm 2017</t>
  </si>
  <si>
    <t>4538/QĐ-UBND ngày 13/12/2017</t>
  </si>
  <si>
    <t>Trường Tiểu học xã Thuận Đức (2 tầng 6 phòng)</t>
  </si>
  <si>
    <t>UBND xã Thuận Đức</t>
  </si>
  <si>
    <t>có trong KH trung hạn, phê duyệt CTĐT từ năm 2015</t>
  </si>
  <si>
    <t>3049/QĐ-UBND ngày 29/10/2015; 2349/QĐ-UBND ngày 18/7/2018</t>
  </si>
  <si>
    <t>Trường Tiểu học xã Vạn Trạch (6 phòng) (Khu vực Thống Nhất)</t>
  </si>
  <si>
    <t>UBND xã Vạn Trạch</t>
  </si>
  <si>
    <t>có trong KH trung hạn</t>
  </si>
  <si>
    <t>3704/QĐ-UBND ngày 30/10/2018</t>
  </si>
  <si>
    <t>Nhà thi đấu đa chức năng trường THCS&amp;THPT Dương Văn An</t>
  </si>
  <si>
    <t>3445/QĐ-UBND ngày 17/10/2018</t>
  </si>
  <si>
    <t xml:space="preserve"> Trường THCS&amp;THPT Dương Văn An</t>
  </si>
  <si>
    <t>2823/QĐ-UBND ngày 13/10/2015</t>
  </si>
  <si>
    <t xml:space="preserve">Nhà lớp học 2 tầng 8 phòng Trường Tiểu học Lộc Ninh </t>
  </si>
  <si>
    <t>UBND xã Lộc Ninh</t>
  </si>
  <si>
    <t>3651/QĐ-UBND ngày 26/10/2018</t>
  </si>
  <si>
    <t>Xây mới phòng học bộ môn trường THPT Tuyên Hóa</t>
  </si>
  <si>
    <t>3625/QĐ-UBND ngày 26/10/2018</t>
  </si>
  <si>
    <t>Trường THPT Minh Hóa</t>
  </si>
  <si>
    <t>2982/QĐ-UBND ngày 26/10/2015</t>
  </si>
  <si>
    <t>Nhà lớp học bộ môn 6 phòng - Trường THCS Cam Thủy</t>
  </si>
  <si>
    <t>UBND xã Cam Thủy</t>
  </si>
  <si>
    <t>Trường Tiểu học Quảng Thạch  (6 phòng)</t>
  </si>
  <si>
    <t>P.VX
đề xuất NS tỉnh hỗ trợ 100% TMĐT như trong KH trung hạn</t>
  </si>
  <si>
    <t>Nhà thi đấu đa chức năng  trường THPT Ngô Quyền (trước đây là Trường THPT số 5 Bố Trạch)</t>
  </si>
  <si>
    <t xml:space="preserve"> Trường THPT Ngô Quyền</t>
  </si>
  <si>
    <t>3067a/QĐ-UBND ngày 30/10/2015</t>
  </si>
  <si>
    <t>Trường Tiểu học số 2 xã Quảng Xuân - Hạng mục: Nhà lớp học 6 phòng 2 tầng</t>
  </si>
  <si>
    <t>3117/QĐ-UBND ngày 05/9/2017</t>
  </si>
  <si>
    <t>2989/QĐ-UBND ngày 26/10/2016</t>
  </si>
  <si>
    <t>Xây dựng phòng học trường THCS Kim Hóa (6 phòng học)</t>
  </si>
  <si>
    <t>UBND xã Kim Hóa</t>
  </si>
  <si>
    <t>2978/QĐ-UBND ngày 26/10/2015</t>
  </si>
  <si>
    <t xml:space="preserve">Trường THCS Sơn Lộc (2 tầng 6 phòng) </t>
  </si>
  <si>
    <t>3167/QĐ-UBND ngày 24/9/2018</t>
  </si>
  <si>
    <t>UBND xã Sơn Lộc</t>
  </si>
  <si>
    <t>3027/QĐ-UBND ngày 28/10/2015; 1005/QĐ-UBND ngày 30/3/2018</t>
  </si>
  <si>
    <t>Nhà lớp học 2 tầng 8 phòng trường THCS Cảnh Hóa</t>
  </si>
  <si>
    <t>3624/QĐ-UBND ngày 26/10/2018</t>
  </si>
  <si>
    <t>UBND xã Cảnh Hóa</t>
  </si>
  <si>
    <t>2981/QĐ-UBND ngày 26/10/2015; 2618/QĐ-UBND ngày 08/18/2018</t>
  </si>
  <si>
    <t>Trường Tiểu học số 1 xã Quảng Xuân (06 phòng)</t>
  </si>
  <si>
    <t>3371/QĐ-UBND ngày 11/10/2018</t>
  </si>
  <si>
    <t>Nhà lớp học 2 tầng 4 phòng cụm MN Xuân Bồ, Xuân Thủy</t>
  </si>
  <si>
    <t>Nhà hiệu bộ Trường Mầm non xã Nghĩa Ninh</t>
  </si>
  <si>
    <t>UBND xã Nghĩa Ninh</t>
  </si>
  <si>
    <t>XD mới Nhà đa chức năng Trường CĐ Kỹ thuật công nông nghiệp Quảng Bình</t>
  </si>
  <si>
    <t>2753/QĐ-UBDN ngày  20/8/2018</t>
  </si>
  <si>
    <t>Trường CĐ Kỹ thuật công nông nghiệp Quảng Bình</t>
  </si>
  <si>
    <t>4123/QĐ-UBDN ngày  15/11/2017</t>
  </si>
  <si>
    <t>Nhà ở giáo viên giảng dạy và bồi dưỡng TT GDTX tỉnh</t>
  </si>
  <si>
    <t>2326a/QĐ-UBND ngày 13/7/2018</t>
  </si>
  <si>
    <t>Trung tâm GDTX tỉnh</t>
  </si>
  <si>
    <t>1441/QĐ-UBND ngày 03/5/2018</t>
  </si>
  <si>
    <t>Trường Mầm non Bắc Lý ( Cụm Khu công nghiệp Tây Bắc Đồng Hới)</t>
  </si>
  <si>
    <t>Liên đoàn Lao động tỉnh</t>
  </si>
  <si>
    <t>Đ/c Quang PCT, đ/c Giám đốc</t>
  </si>
  <si>
    <t>Sửa chữa, nâng cấp khối nhà lớp học 3 tầng, 24 phòng Trường THPT Đồng Hới</t>
  </si>
  <si>
    <t>Trường THPT Đồng Hới</t>
  </si>
  <si>
    <t>3597/QĐ-UBND ngày 26/10/2018</t>
  </si>
  <si>
    <t>Nhà đa năng Trường THPT Trần Hưng Đạo</t>
  </si>
  <si>
    <t>3891/QĐ-UBND ngày 31/10/2018</t>
  </si>
  <si>
    <t>1595/QĐ-UBDN ngày 17/5/2018</t>
  </si>
  <si>
    <t>Nhà thư viện, hội trường, văn phòng trường THPT Nguyễn Chí Thanh</t>
  </si>
  <si>
    <t>3644/QĐ-UBND ngày 29/10/2018</t>
  </si>
  <si>
    <t>Đề nghị không bố trí vốn do sát nhập trường</t>
  </si>
  <si>
    <t>Trường THPT Nguyễn Chí Thanh</t>
  </si>
  <si>
    <t>3435/QĐ-UBND ngày 17/10/2018</t>
  </si>
  <si>
    <t>Nhà lớp học 2 tầng 6 phòng Trường Mầm non Huyên Thủy, xã Thạch Hóa</t>
  </si>
  <si>
    <t>UBND xã Thạch Hóa</t>
  </si>
  <si>
    <t>3626/QĐ-UBND ngày 26/10/2018</t>
  </si>
  <si>
    <t>Trường MN 2 tầng 4 phòng thôn Áng Sơn xã Vạn Ninh</t>
  </si>
  <si>
    <t>PVX đưa xuống KCM năm 2019, dùng NS huyện xã</t>
  </si>
  <si>
    <t>UBND xã Vạn Ninh</t>
  </si>
  <si>
    <t>Chủ tịch</t>
  </si>
  <si>
    <t>Nhà lớp học bộ môn 2 tầng 4 phòng Trường THCS xã Tiến Hóa</t>
  </si>
  <si>
    <t>Đ/c Quang PCT</t>
  </si>
  <si>
    <t>3627/QĐ-UBND ngày 26/10/2018</t>
  </si>
  <si>
    <t>Nhà lớp học 2 tầng 8 phòng Trường Tiểu học Quảng Thọ</t>
  </si>
  <si>
    <t>3489/QĐ-UBND ngày 22/10/2018</t>
  </si>
  <si>
    <t>Nhà lớp học 2 tầng 8 phòng Trường Tiểu học Cồn Sẻ, xã Quảng Lộc</t>
  </si>
  <si>
    <t>P VX</t>
  </si>
  <si>
    <t>3519/QĐ-UBND ngày 23/10/2018</t>
  </si>
  <si>
    <t>Nhà lớp học 2 tầng 6 phòng Trường Tiểu học số 1 Ba Đồn</t>
  </si>
  <si>
    <t>Đ/c Giám đốc</t>
  </si>
  <si>
    <t>3518/QĐ-UBND ngày 23/10/2018</t>
  </si>
  <si>
    <t>Nhà lớp học và các phòng chức năng 2 tầng 6 phòng trường MN xã Quảng Thủy</t>
  </si>
  <si>
    <t>UBND xã Quảng Thủy</t>
  </si>
  <si>
    <t>Nhà lớp học 2 tầng 6 phòng Trường  Tiểu học số 1 Quảng Hòa</t>
  </si>
  <si>
    <t>UBND xã Quảng Hòa</t>
  </si>
  <si>
    <t>3463/QĐ-UBND ngày 18/10/2018</t>
  </si>
  <si>
    <t>Xây dựng 6 phòng 2 tầng Trường Mầm non xã Quảng Liên</t>
  </si>
  <si>
    <t xml:space="preserve">UBND xã Quảng Liên </t>
  </si>
  <si>
    <t>3382/QĐ-UBND ngày 12/10/2018</t>
  </si>
  <si>
    <t>Nhà lớp học 2 tầng 6 phòng Trường Tiểu học Quảng Liên</t>
  </si>
  <si>
    <t>3381/QĐ-UBND ngày 12/10/2018</t>
  </si>
  <si>
    <t>Nhà lớp học 2 tầng 8 phòng TRường THCS xã Quảng Xuân</t>
  </si>
  <si>
    <t>3709/QĐ-UBND ngày 30/10/2018</t>
  </si>
  <si>
    <t>3449/QĐ-UBND ngày 17/10/2018</t>
  </si>
  <si>
    <t>Dãy nhà 2 tầng 8 phòng Trường THCS xã Quảng Châu</t>
  </si>
  <si>
    <t>3448/QĐ-UBND ngày 17/10/2018</t>
  </si>
  <si>
    <t xml:space="preserve">Nhà hiệu bộ và các phòng chức năng trường THCS Sơn Trạch </t>
  </si>
  <si>
    <t>UBND xã Sơn Trạch</t>
  </si>
  <si>
    <t>Hỏi lại VX</t>
  </si>
  <si>
    <t>Ý kiến đ/c Dũng PCT</t>
  </si>
  <si>
    <t>3769/QĐ-UBND ngày 31/10/2018</t>
  </si>
  <si>
    <t>UBND xã Lâm Trạch</t>
  </si>
  <si>
    <t>Có trong KH
trung hạn</t>
  </si>
  <si>
    <t>Nhà lớp học 2 tầng 6 phòng Trường Tiểu học số 2 Cự Nẫm, huyện Bố Trạch</t>
  </si>
  <si>
    <t>Trường Tiểu học xã Vạn Trạch (6 phòng) (Khu vực Chiến Thắng)</t>
  </si>
  <si>
    <t>Ý kiến Giám đốc. Có trong
KH trung hạn</t>
  </si>
  <si>
    <t>UBND xã Đồng Trạch</t>
  </si>
  <si>
    <t>Trường Tiểu học số 1 Sen Thủy (6 phòng 2 tầng)</t>
  </si>
  <si>
    <t>UBND xã Sen Thủy</t>
  </si>
  <si>
    <t>3648a/QĐ-UBND ngày 26/10/2018</t>
  </si>
  <si>
    <t>Nhà lớp học 2 tầng 8 phòng Trung tâm giáo dục trẻ khuyết tật huyện Lệ Thủy</t>
  </si>
  <si>
    <t>Trung tâm Giáo dục trẻ khuyết tật huyện Lệ Thủy</t>
  </si>
  <si>
    <t>3497/QĐ-UBND ngày 22/10/2018</t>
  </si>
  <si>
    <t>Hạ tầng kỹ thuật Trường phổ thông dân tộc nội trú huyện Quảng Ninh</t>
  </si>
  <si>
    <t>Trường  Phổ thông Dân tộc nội trú huyện Quảng Ninh</t>
  </si>
  <si>
    <t>3642/QĐ-UBND ngày 26/10/2018</t>
  </si>
  <si>
    <t>Nhà hiệu bộ trường THCS Tân Ninh</t>
  </si>
  <si>
    <t>3639/QĐ-UBND ngày 26/10/2018</t>
  </si>
  <si>
    <t>Nhà lớp học bộ môn 2 tầng 8 phòng học, Trường THCS xã Võ Ninh, huyện Quảng Ninh</t>
  </si>
  <si>
    <t>3368/QĐ-UBND ngày 11/10/2018</t>
  </si>
  <si>
    <t>Nhà lớp học bộ môn 2 tầng 8 phòng học, Trường THCS xã Hàm Ninh</t>
  </si>
  <si>
    <t>3369/QĐ-UBND ngày 11/10/2018</t>
  </si>
  <si>
    <t>Nhà lớp học bộ môn 2 tầng 4 phòng (điểm trường thôn Kim Nại) Trường mầm non An Ninh</t>
  </si>
  <si>
    <t>Đ/c Thuật PBT</t>
  </si>
  <si>
    <t>3607/QĐ-UBND ngày 26/10/2018</t>
  </si>
  <si>
    <t>Nhà lớp học 2 tầng 8 phòng trường tiểu học Vạn Ninh cơ sở 2</t>
  </si>
  <si>
    <t>Trường Trung cấp Y tế</t>
  </si>
  <si>
    <t>Theo đề án</t>
  </si>
  <si>
    <t>3444/QĐ-UBND ngày 17/10/2018</t>
  </si>
  <si>
    <t>Nhà hiệu bộ và khuôn viên Trường tiểu học Gia Ninh, xã Gia Ninh, huyện Quảng Ninh</t>
  </si>
  <si>
    <t>Đang chờ phê duyệt</t>
  </si>
  <si>
    <t>Các dự án khởi công mới 2019 dùng nguồn vốn huyện, xã (NS tỉnh bố trí từ năm 2020)</t>
  </si>
  <si>
    <t>Kế hoạch 2018 QĐ</t>
  </si>
  <si>
    <t>Kế hoạch 2018 NQ</t>
  </si>
  <si>
    <t>Dự án Tượng đài Chủ tịch Hồ Chí Minh với nhân dân Quảng Bình</t>
  </si>
  <si>
    <t>Dự án Hạ tầng Quảng trường trung tâm</t>
  </si>
  <si>
    <t>128/HĐND-VP ngày 19/10/2018</t>
  </si>
  <si>
    <t>29/HĐND-VP ngày 13/4/2018</t>
  </si>
  <si>
    <t>Giảm 1.100</t>
  </si>
  <si>
    <t>Bố trí FLC 2018: 1,775 tỷ</t>
  </si>
  <si>
    <t>Trung tâm Y tế huyện Quảng Trạch</t>
  </si>
  <si>
    <t>2151/QĐ-UBND ngày 02/7/2018</t>
  </si>
  <si>
    <t>có ý kiến Thường trực HDND</t>
  </si>
  <si>
    <t>3828/QĐ-UBND ngày 27/10/2017</t>
  </si>
  <si>
    <t>Trạm Y tế phường Quảng Phúc</t>
  </si>
  <si>
    <t>3970a/QĐ-UBND ngày 31/10/2017</t>
  </si>
  <si>
    <t>Bố trí theo PVX đề xuất</t>
  </si>
  <si>
    <t>UBND phường
Quảng Phúc</t>
  </si>
  <si>
    <t>2905/QĐ-UBND ngày 16/10/2015; 3757a/QĐ-UBND ngày 31/10/2017</t>
  </si>
  <si>
    <t>Trạm y tế xã Quảng Lộc</t>
  </si>
  <si>
    <t>3865/QĐ-UBND ngày 30/10/2017</t>
  </si>
  <si>
    <t>3842/QĐ-UBND ngày 30/10/2017</t>
  </si>
  <si>
    <t>Bệnh viện Đa khoa Tuyên Hóa</t>
  </si>
  <si>
    <t>3050/QĐ-UBND ngày 29/10/2015</t>
  </si>
  <si>
    <t>Trạm y tế xã Quảng Châu</t>
  </si>
  <si>
    <t>3847/QĐ-UBND ngày 30/10/2017</t>
  </si>
  <si>
    <t>Trạm  Y tế phường Quảng Long</t>
  </si>
  <si>
    <t>UBND phường
Quảng Long</t>
  </si>
  <si>
    <t>2899/QĐ-UBND ngày 16/10/2015</t>
  </si>
  <si>
    <t>Trạm Y tế xã Đức Trạch</t>
  </si>
  <si>
    <t>3347/QĐ-UBND ngày 9/10/2018</t>
  </si>
  <si>
    <t>889/VPUBND-KTTH
ngày 26/03/2018</t>
  </si>
  <si>
    <t>1005/QĐ-UBND ngày 30/3/2018</t>
  </si>
  <si>
    <t>Bệnh viện Đa khoa Đồng Hới</t>
  </si>
  <si>
    <t>3674/QĐ-UBND ngày 29/10/2018</t>
  </si>
  <si>
    <t>Bệnh viện Đa khoa Minh Hóa</t>
  </si>
  <si>
    <t>3574/QĐ-UBND ngày 24/10/2018</t>
  </si>
  <si>
    <t>Hạ tầng kỹ thuật Trung tâm Y tế huyện Lệ Thuỷ</t>
  </si>
  <si>
    <t>Trung tâm Y tế huyện Lệ Thuỷ</t>
  </si>
  <si>
    <t>Đ/c Giám đốc. Có trong KH
trung hạn</t>
  </si>
  <si>
    <t>Trạm y tế xã Quảng Kim</t>
  </si>
  <si>
    <t>UBND xã Quảng Kim</t>
  </si>
  <si>
    <t>3598 ngày 26/10/2018</t>
  </si>
  <si>
    <t>Dự án khởi công mới năm 2019</t>
  </si>
  <si>
    <t>Nâng cấp hệ thống đê, kè bảo vệ bờ sông và trồng rừng ngập mặn để ứng phó với biến đổi khí hậu các xã bãi ngang, cồn bãi thuộc thị xã Ba Đồn</t>
  </si>
  <si>
    <t>P.KTĐN
đề xuất bố trí</t>
  </si>
  <si>
    <t>Sở Nông nghiệp và Phát triển nông thôn</t>
  </si>
  <si>
    <t>Xây dựng củng cố đê, kè chống sạt lở sông Nhật Lệ, thành phố Đồng Hới, tỉnh Quảng Bình</t>
  </si>
  <si>
    <t>Sở Tài nguyên và Môi trường</t>
  </si>
  <si>
    <t>Dự án Phát triển cơ sở hạ tầng du lịch hỗ trợ cho tăng trưởng toàn diện khu vực tiểu vùng Mê Công mở rộng - giai đoạn 2</t>
  </si>
  <si>
    <t>1381/QĐ-TTg ngày 18/10/2018</t>
  </si>
  <si>
    <t>Bổ sung đối ứng các dự án ODA khởi công mới năm 2019</t>
  </si>
  <si>
    <t>Các dự án khởi công mới 2019</t>
  </si>
  <si>
    <t>Các dự án trong KH trung hạn chưa cân đối nguồn</t>
  </si>
  <si>
    <t>Trung tâm Bồi dưỡng Chính trị huyện Quảng Trạch</t>
  </si>
  <si>
    <t>Đã có ý kiến TT. HĐND tỉnh bổ sung trung hạn</t>
  </si>
  <si>
    <t>Có ý kiến thường trực HĐND tỉnh</t>
  </si>
  <si>
    <t>3495/QĐ-UBND ngày 22/10/2018</t>
  </si>
  <si>
    <t>Mở rộng đường liên 5 xã từ Quảng Long đi Quảng Phương</t>
  </si>
  <si>
    <t>Phê duyệt CTĐT từ năm 2016</t>
  </si>
  <si>
    <t>4125/QĐ-UBND ngày 27/12/2016; 694/QĐ-UBND ngày 09/3/2018</t>
  </si>
  <si>
    <t>Đường liên thôn Tân Sơn - Tam Đăng, xã Sơn Hóa</t>
  </si>
  <si>
    <t>3968/QĐ-UBND ngày 31/10/2017</t>
  </si>
  <si>
    <t>Bố trí KH 2019 theo QĐ CTĐT</t>
  </si>
  <si>
    <t>UBND xã Sơn Hóa</t>
  </si>
  <si>
    <t>Phê duyệt CTĐT từ năm 2017</t>
  </si>
  <si>
    <t>3875/QĐ-UBND ngày 30/10/2017</t>
  </si>
  <si>
    <t>Đường tránh lũ Nguyệt Áng- Trường Dục</t>
  </si>
  <si>
    <t>3951/QĐ-UBND ngày 31/10/2017</t>
  </si>
  <si>
    <t>Phê duyệt CTĐT từ năm 2018</t>
  </si>
  <si>
    <t>3710/QĐ-UBND ngày 20/10/2017</t>
  </si>
  <si>
    <t>Sửa chữa, nâng cấp tuyến đường liên xã Quảng Thanh - Quảng Phương - Quảng Lưu - Quảng Tiến</t>
  </si>
  <si>
    <t>258/QĐ-UBND ngày 24/01/2017</t>
  </si>
  <si>
    <t>Nâng cấp tuyến đường ngập lụt liên thôn xã Phong Hóa</t>
  </si>
  <si>
    <t>4870/QĐ-UBND ngày 29/12/2017</t>
  </si>
  <si>
    <t>Đường giao thông liên thôn xã Quảng Trường</t>
  </si>
  <si>
    <t>Đ/c Giám đốc. Có trong
KH trung hạn</t>
  </si>
  <si>
    <t>3552/QĐ-UBND ngày 24/10/2018</t>
  </si>
  <si>
    <t>Sửa chữa nâng cấp các tuyến đường từ nhà văn hóa đến nhà Dòng xã Quảng Phương</t>
  </si>
  <si>
    <t>3586/QĐ-UBND ngày 25/10/2018</t>
  </si>
  <si>
    <t>Bê tông hóa đường liên thôn xã Cao Quảng</t>
  </si>
  <si>
    <t>QĐ CTĐT không bố trí từng năm</t>
  </si>
  <si>
    <t>UBND xã
Cao Quảng</t>
  </si>
  <si>
    <t>Đã có trong KH trung hạn
 Ý kiến Giám đốc</t>
  </si>
  <si>
    <t>3708/QĐ-UBND ngày 30/10/2018</t>
  </si>
  <si>
    <t>Đường tránh lũ Duy Ninh</t>
  </si>
  <si>
    <t>Đã có trong KH trung hạn</t>
  </si>
  <si>
    <t>3644/QĐ-UBND ngày 26/10/2018</t>
  </si>
  <si>
    <t>Đường cấp 3 Ninh Châu đi trạm bơm Rào Bạc</t>
  </si>
  <si>
    <t>3648/QĐ-UBND ngày 26/10/2018</t>
  </si>
  <si>
    <t>Sửa chữa đường Lộc Long – Hoành Vinh</t>
  </si>
  <si>
    <t>Đ/c Giám đốc. Đã có trong KH trung hạn</t>
  </si>
  <si>
    <t>3622/QĐ-UBND ngày 26/10/2018</t>
  </si>
  <si>
    <t>Xây dựng Đập thôn 8 xã Quảng Thạch</t>
  </si>
  <si>
    <t>Ý kiến đ/c Ninh PCT HĐND tỉnh. Có trong
KH trung hạn</t>
  </si>
  <si>
    <t>3605/QĐ-UBND ngày 26/10/2018</t>
  </si>
  <si>
    <t>Nâng cấp sửa chữa hệ thống đường nội vùng tổ dân phố Trường Sơn, phường Quảng Long</t>
  </si>
  <si>
    <t xml:space="preserve"> UBND phường
Quảng Long </t>
  </si>
  <si>
    <t>Đ/c Quang PCT. Có trong KH trung hạn</t>
  </si>
  <si>
    <t>3585/QĐ-UBND ngày 25/10/2018</t>
  </si>
  <si>
    <t xml:space="preserve">Các dự án bổ sung KH trung hạn </t>
  </si>
  <si>
    <t>Dự án Tuyến đường ngoài hàng rào phía Nam dự án FLC nối từ đường tránh lũ BOT đến xã Hải Ninh</t>
  </si>
  <si>
    <t>Đ/c Chủ tịch</t>
  </si>
  <si>
    <t>Đường vào bản Khe Ngang</t>
  </si>
  <si>
    <t>3952a/QĐ-UBND ngày 31/10/2017</t>
  </si>
  <si>
    <t>Trong QĐ CTĐT Huyện 2018, tỉnh 2019, huyện chưa bố trí tỉnh có bố trí không</t>
  </si>
  <si>
    <t>3855/QĐ-UBND ngày 30/10/2017</t>
  </si>
  <si>
    <t>Khắc phục khẩn cấp tuyến đường giao thông liên tổ dân phố, liên phường thuộc phường Quảng Phong, thị xã Ba Đồn</t>
  </si>
  <si>
    <t>3506/QĐ-UBND ngày 05/10/2017</t>
  </si>
  <si>
    <t>bố trí KH vốn theo CTĐT</t>
  </si>
  <si>
    <t>2756/QĐ-UBND ngày 03/8/2017</t>
  </si>
  <si>
    <t>Đường liên thôn Đồng Giang - Đại Sơn, xã Đồng Hóa</t>
  </si>
  <si>
    <t>3967/QĐ-UBND ngày 31/10/2017</t>
  </si>
  <si>
    <t>Đã bố trí từ CT 135 năm 2018: 933 trđ; tiến độ theo CTĐT: 946</t>
  </si>
  <si>
    <t>3477/QĐ-UBND ngày 02/01/2017</t>
  </si>
  <si>
    <t>Xây dựng cống và ngầm tràn bản Tân Ly, xã Lâm Thủy, huyện Lệ Thủy</t>
  </si>
  <si>
    <t>3953/QĐ-UBND ngày 31/10/2017</t>
  </si>
  <si>
    <t>UBND xã Lâm Thủy</t>
  </si>
  <si>
    <t>3827a/QĐ-UBND ngày 27/10/2017</t>
  </si>
  <si>
    <t>Đường GTNT liên xã Phong Thủy - Lộc Thủy</t>
  </si>
  <si>
    <t>3936/QĐ-UBND ngày 30/10/2017</t>
  </si>
  <si>
    <t>3717a/QĐ-UBND ngày 20/10/2017</t>
  </si>
  <si>
    <t>Đường kết hợp kè chống ngập lụt xã Phú Thủy</t>
  </si>
  <si>
    <t>Bổ sung danh mục, bố trí KH 2019 theo QĐ CTĐT</t>
  </si>
  <si>
    <t>3589/QĐ-UBND ngày 25/10/2018</t>
  </si>
  <si>
    <t>Tuyến đường liên thôn Tùng Giang-Hạ Lý Tân Châu</t>
  </si>
  <si>
    <t>2096/QĐ-UBND ngày 26/6/2018</t>
  </si>
  <si>
    <t xml:space="preserve">Đầu tư cứng hóa đường giao thông liên tổ DP, liên phường thuộc phường Quảng Phong </t>
  </si>
  <si>
    <t>1127/QĐ-UBND ngày 09/4/2018</t>
  </si>
  <si>
    <t>Nâng cấp tuyến đường trục chính thôn Vĩnh Lộc, xã Quảng Lộc</t>
  </si>
  <si>
    <t>981/QĐ-UBND ngày 29/3/2018</t>
  </si>
  <si>
    <t>Bê tông hóa đường giao thông nội vùng phường Quảng Phúc</t>
  </si>
  <si>
    <t>2127/QĐ-UBND ngày 28/6/2018</t>
  </si>
  <si>
    <t>Đường GTNT xã Quảng Xuân</t>
  </si>
  <si>
    <t>2128/QĐ-UBND ngày 28/6/2018</t>
  </si>
  <si>
    <t>Xây dựng trụ sở làm việc Hạt kiểm lâm huyện Quảng Trạch</t>
  </si>
  <si>
    <t>1834/QĐ-UBND ngày 05/6/2018</t>
  </si>
  <si>
    <t>Theo QĐ CTĐT, huyện bố trí 2018-2019, tỉnh 2019-2020, huyện chưa bố trí, theo CTĐT là 1 tỷ đồng</t>
  </si>
  <si>
    <t>3718/QĐ-UBND ngày 20/10/2017</t>
  </si>
  <si>
    <t>Đường liên xã Thanh - Phương - Lưu đi trung tâm dân cư Tô Xá, xã Quảng Phương</t>
  </si>
  <si>
    <t>3041/QĐ-UBND ngày 13/9/2018</t>
  </si>
  <si>
    <t>bổ sung dự án, bố trí KH vốn theo CTĐT</t>
  </si>
  <si>
    <t>1405/QĐ-UBND ngày 27/4/2018; 2594/QĐ-UBND ngày 07/8/2018</t>
  </si>
  <si>
    <t>Tuyến đường từ thị trấn Quy Đạt đi xã Xuân Hóa, huyện Minh Hóa</t>
  </si>
  <si>
    <t>Đ/c Bí thư</t>
  </si>
  <si>
    <t>3569/QĐ-UBND ngày 24/10/2018</t>
  </si>
  <si>
    <t>Sửa chữa nâng cấp đường giao thông từ thị trấn Đồng Lê đi xã Sơn Hóa</t>
  </si>
  <si>
    <t>2 tỷ/năm theo QĐ CTĐT</t>
  </si>
  <si>
    <t>3567/QĐ-UBND ngày 25/10/2018</t>
  </si>
  <si>
    <t>Hội trường UBND xã Quảng Thủy</t>
  </si>
  <si>
    <t>3464/QĐ-UBND ngày 18/10/2018</t>
  </si>
  <si>
    <t>Đường giao thông phường Quảng Thuận</t>
  </si>
  <si>
    <t>UBND phường
Quảng Thuận</t>
  </si>
  <si>
    <t>3457/QĐ-UBND ngày 18/10/2018</t>
  </si>
  <si>
    <t>Đường tránh lũ Phúc Nhĩ – Kim Nại xã An Ninh, huyện Quảng Ninh</t>
  </si>
  <si>
    <t>3522/QĐ-UBND ngày 23/10/2018</t>
  </si>
  <si>
    <t>Đường vào bản Nà Lâm, xã Trường Xuân, huyện Quảng Ninh</t>
  </si>
  <si>
    <t>3523/QĐ-UBND ngày 23/10/2018</t>
  </si>
  <si>
    <t>Nhà làm việc và Hội trường Đồn công an Lệ Ninh</t>
  </si>
  <si>
    <t>3895/QĐ-UBND ngày 30/10/2017</t>
  </si>
  <si>
    <t>Công an huyện Lệ Thủy</t>
  </si>
  <si>
    <t>3340/QĐ-UBND ngày 22/9/2017</t>
  </si>
  <si>
    <t>3878a/QĐ-UBND ngày 30/10/2017</t>
  </si>
  <si>
    <t>Trong QĐ CTĐT thực hiện 2018-2020 bố trí từ nguồn CT giảm nghèo, tỉnh 2019-2020; nhưng hiện nay CT giảm nghèo chưa bố trí, tỉnh có bố trí không</t>
  </si>
  <si>
    <t>Khắc phục khẩn cấp tuyến đường từ xã Châu Hóa đi xã Cao Quảng, huyện Tuyên Hóa, đoạn từ Km3+260 đến Km6+943,59</t>
  </si>
  <si>
    <t>2377/QĐ-UBND ngày 20/7/2018</t>
  </si>
  <si>
    <t>UBND Tuyên Hóa</t>
  </si>
  <si>
    <t>1548/QĐ-UBND ngày 15/5/2018</t>
  </si>
  <si>
    <t>Xây dựng đường GTNT các thôn xã Yên Hóa</t>
  </si>
  <si>
    <t>UBND xã Yên Hóa</t>
  </si>
  <si>
    <t>3581/QĐ-UBND ngày 25/10/2018</t>
  </si>
  <si>
    <t>Nâng cấp, mở rộng tuyến đường giao thông từ cầu Quảng Hải đi các xã Quảng Lộc-Quảng Hòa-Quảng Minh-Quảng Sơn-Quảng Thủy, thị xã Ba Đồn</t>
  </si>
  <si>
    <t>3571/QĐ-UBND ngày 24/10/2018</t>
  </si>
  <si>
    <t>Kè hồ Trạm xã Phú Định</t>
  </si>
  <si>
    <t>UBND huyện
Bố Trạch</t>
  </si>
  <si>
    <t>3484a/QĐ-UBND ngày 19/10/2018</t>
  </si>
  <si>
    <t>Kè chống sạt lở kết hợp ngăn mặn đồng Cồn Hoàng huyện Quảng Ninh (gd2)</t>
  </si>
  <si>
    <t>TMĐT 4500, tên có giai đoạn 2</t>
  </si>
  <si>
    <t>3628/QĐ-UBND ngày 26/10/2018</t>
  </si>
  <si>
    <t>Nâng cấp, mở rộng đường Nguyễn Thị Định xã Bảo Ninh</t>
  </si>
  <si>
    <t>Xem lại, có bố trí kịp 2019 hay không, hiện nay đang trình phê duyệt CTĐT</t>
  </si>
  <si>
    <t>UBND xã Bảo Ninh</t>
  </si>
  <si>
    <t>3576/QĐ-UBND ngày 25/10/2018</t>
  </si>
  <si>
    <t>Đường QL1A đi dự án FLC, huyện Quảng Ninh</t>
  </si>
  <si>
    <t>3636/QĐ-UBND ngày 26/10/2018</t>
  </si>
  <si>
    <t>Đê bao từ Mỹ Trung đến cống Hói Sỏi, huyện Quảng Ninh</t>
  </si>
  <si>
    <t>3604/QĐ-UBND ngày 26/10/2018</t>
  </si>
  <si>
    <t>Tuyến đường từ xã Yên Hóa đi xã Quy Hóa, huyện Minh Hóa</t>
  </si>
  <si>
    <t>3563/QĐ-UBND ngày 24/10/2018</t>
  </si>
  <si>
    <t>Nạo vét kênh và xây dựng bờ kè đoạn đuôi tràn hồ Đồng Sơn về vùng hạ lưu</t>
  </si>
  <si>
    <t>Đang trình phê duyệt CTĐT</t>
  </si>
  <si>
    <t>UBND Tp Đồng Hới</t>
  </si>
  <si>
    <t>Kè chống xói lở Khe Cát Dinh Thủy, xã Võ Ninh</t>
  </si>
  <si>
    <t>2311/QĐ-UBND ngày 13/7/2018</t>
  </si>
  <si>
    <t>1306/QĐ-UBND ngày 20/4/2018</t>
  </si>
  <si>
    <t>Đập Ồ Ồ xã Vạn Ninh, huyện Quảng Ninh</t>
  </si>
  <si>
    <t>1033/QĐ-UBND ngày 03/4/2018</t>
  </si>
  <si>
    <t>Đường nối từ ngã 3 Khe Dong đến Quốc lộ 9C thuộc xã Kim Thủy</t>
  </si>
  <si>
    <t>3840/QĐ-UBND ngày 31/10/2018</t>
  </si>
  <si>
    <t>Nâng cấp tuyến đường từ thôn Sen Đông và tuyến đường từ thôn Xóm Phường đi thôn Thanh Sơn, xã Sen Thủy</t>
  </si>
  <si>
    <t>3640a/QĐ-UBND ngày 26/10/2018</t>
  </si>
  <si>
    <t>Trụ sở làm việc trung tâm khuyến nông khuyến ngư tỉnh Quảng Bình</t>
  </si>
  <si>
    <t xml:space="preserve">Trung tâm khuyến nông khuyến ngư tỉnh </t>
  </si>
  <si>
    <t>733/QĐ-UBND ngày 09/3/2017</t>
  </si>
  <si>
    <t>Khắc phục khẩn cấp Cầu Lim-Động Hương xã Phong Hóa</t>
  </si>
  <si>
    <t>UBND huyện Tuyên Hóa đã có CV số 600 giao xã Phong Hóa làm Chủ đầu tư; thời gian thực hiện 2 năm</t>
  </si>
  <si>
    <t>3710/QĐ-UBND ngày 20/10/2018</t>
  </si>
  <si>
    <t>Kè chống sạt lở bờ suối Khe Trẩy, đoạn qua Trạm Y tế xã Hoá Tiến</t>
  </si>
  <si>
    <t>P. VX đề xuất bố trí 3 tỷ</t>
  </si>
  <si>
    <t>3467/QĐ-UBND ngày 19/10/2018</t>
  </si>
  <si>
    <t>Nhà văn hóa cộng đồng xã Tân Trạch</t>
  </si>
  <si>
    <t>UBND xã Tân Trạch</t>
  </si>
  <si>
    <t>Nâng cấp, sửa chữa Sân vận động thành phố Đồng Hới tại phường Đồng Sơn</t>
  </si>
  <si>
    <t>BQL ĐTXD Công trình Dân dụng và CN</t>
  </si>
  <si>
    <t>3678/QĐ-UBND ngày 29/10/2018</t>
  </si>
  <si>
    <t>Hạ tầng nghĩa trang xã Bảo Ninh (GĐ2)</t>
  </si>
  <si>
    <t>P. VX đề xuất bố trí 3,5 tỷ</t>
  </si>
  <si>
    <t>Sửa chữa, cải tạo Trụ sở Báo Quảng Bình</t>
  </si>
  <si>
    <t>Báo Quảng Bình</t>
  </si>
  <si>
    <t>3685/QĐ-UBND ngày 26/10/2018</t>
  </si>
  <si>
    <t>Cải tạo, sửa chữa Trụ sở Hội Văn học Nghệ thuật tỉnh</t>
  </si>
  <si>
    <t>P. VX đề xuất bố trí 850 triệu</t>
  </si>
  <si>
    <t>Hội Văn học nghệ thuật tỉnh</t>
  </si>
  <si>
    <t>3467/QĐ-UBND ngày 26/10/2018</t>
  </si>
  <si>
    <t>Nhà văn hóa xã kết hợp hội trường và các phòng chức năng xã Đức Hóa</t>
  </si>
  <si>
    <t>UBND xã Đức Hóa</t>
  </si>
  <si>
    <t>1364/QĐ-UBND ngày 26/4/2018</t>
  </si>
  <si>
    <t>Nâng cấp tuyến đường ngập lụt nối thôn 2 và thôn 3, xã Trung Trạch</t>
  </si>
  <si>
    <t>Theo QĐ CTĐT, NS tỉnh bố trí từ năm 2020</t>
  </si>
  <si>
    <t>3524/QĐ-UBND ngày 05/10/2017</t>
  </si>
  <si>
    <t>Cầu Quy Hậu, xã Liên Thủy</t>
  </si>
  <si>
    <t>3606/QĐ-UBND ngày 12/10/2017</t>
  </si>
  <si>
    <t>Kè chống sạt lở bờ hữu sông Long Đại đoạn qua thôn Đồng Tư, xã Hiền Ninh, huyện Quảng Ninh</t>
  </si>
  <si>
    <t>3143/QĐ-UBND ngày 20/9/2018</t>
  </si>
  <si>
    <t>3741/QĐ-UBND ngày 23/10/2017</t>
  </si>
  <si>
    <t>Đường liên xã Võ Tân - Đại Hữu, huyện Quảng Ninh</t>
  </si>
  <si>
    <t>2756/QĐ-UBND ngày 21/8/2018</t>
  </si>
  <si>
    <t>3767/QĐ-UBND ngày 24/10/2017</t>
  </si>
  <si>
    <t>Đường giao thông nông thôn xã Vạn Trạch</t>
  </si>
  <si>
    <t>NS tỉnh bố trí từ 2020 theo CTĐT</t>
  </si>
  <si>
    <t>Ý kiến Đ/c
Quang-PCT. Có trong
KH trung hạn</t>
  </si>
  <si>
    <t>3712/QĐ-UBND ngày 30/10/2018</t>
  </si>
  <si>
    <t>Kênh tưới nước Hồ Vân Tiền, xã Quảng Lưu</t>
  </si>
  <si>
    <t>sẽ phê duyệt CTĐT và triển khai trong năm 2020</t>
  </si>
  <si>
    <t>Tuyến đường trên đê Mỹ Cương, xã Đức Ninh</t>
  </si>
  <si>
    <t xml:space="preserve">Đang trình CTĐT, CĐT đề xuất NS tỉnh 2020 </t>
  </si>
  <si>
    <t>Lãnh đạo Sở. Có trong
KH trung hạn</t>
  </si>
  <si>
    <t xml:space="preserve">Sửa chữa, nâng cấp đường từ thôn Bắc Hòa, xã Ngư Thủy Bắc đi xã Ngư Thủy Trung </t>
  </si>
  <si>
    <t>2282/QĐ-UBND ngày 11/7/2018</t>
  </si>
  <si>
    <t>3587/QĐ-UBND ngày 11/10/2017</t>
  </si>
  <si>
    <t>Tuyến đường cứu hộ Sen Thủy đi xã Ngư Thủy Nam</t>
  </si>
  <si>
    <t>3592/QĐ-UBND ngày 11/10/2017</t>
  </si>
  <si>
    <t>Kè chống sạt lở bờ tả sông Lý Hòa, đoạn qua thôn Nam Sơn, xã Phú Trạch</t>
  </si>
  <si>
    <t>3707/QĐ-UBND ngày 30/10/2018</t>
  </si>
  <si>
    <t>3525/QĐ-UBND ngày 05/10/2017</t>
  </si>
  <si>
    <t>Đường giao thông nông thôn thôn Phúc Đồng, Phúc Khê, Thanh Sơn, Chày Lập xã Phúc Trạch</t>
  </si>
  <si>
    <t>441/QĐ-UBND ngày 06/2/2018</t>
  </si>
  <si>
    <t>Bê tông hệ thống đường, cầu bản xã Châu Hóa, huyện Tuyên Hóa</t>
  </si>
  <si>
    <t>QĐ CTĐT không bố trí từng năm (bố trí 20-21)</t>
  </si>
  <si>
    <t>UBND xã Châu Hóa</t>
  </si>
  <si>
    <t>3711/QĐ-UBND ngày 30/10/2018</t>
  </si>
  <si>
    <t>Tuyến đường vượt lũ Ba Cồn đi thôn 5, xã Thạch Hóa</t>
  </si>
  <si>
    <t>3656/QĐ-UBND ngày 29/10/2018</t>
  </si>
  <si>
    <t>Đường nội thôn xã Tiến Hóa, huyện Tuyên Hóa</t>
  </si>
  <si>
    <t>2020: 1,0 tỷ; 2021: 2,0 tỷ</t>
  </si>
  <si>
    <t>3475/QĐ-UBND ngày 19/10/2018</t>
  </si>
  <si>
    <t>Đường giao thông liên thôn xã Nam Hóa</t>
  </si>
  <si>
    <t>2020: 1,8 tỷ; 2021: 1,8 tỷ</t>
  </si>
  <si>
    <t>3587/QĐ-UBND ngày 25/10/2018</t>
  </si>
  <si>
    <t>Bê tông hóa các tuyến đường GTNT xã Phú Định, huyện Bố Trạch</t>
  </si>
  <si>
    <t>2020: 1,8 tỷ; 2021: 2,4 tỷ</t>
  </si>
  <si>
    <t>UBND xã Phú Định</t>
  </si>
  <si>
    <t>3432/QĐ-UBND ngày 16/10/2018</t>
  </si>
  <si>
    <t>Đường giao thông nông thôn tuyến từ thôn 6 đến thôn 2 xã Trung Trạch</t>
  </si>
  <si>
    <t>2020: 1,8 tỷ; 2021: 3,6 tỷ</t>
  </si>
  <si>
    <t>UBND xã Trung Trạch</t>
  </si>
  <si>
    <t>3580/QĐ-UBND ngày 25/10/2018</t>
  </si>
  <si>
    <t>Đường nối từ đường Hữu Nghị đến đường Nguyễn Văn Linh</t>
  </si>
  <si>
    <t>Đã bố trí vốn vượt thu tiết kiệm chi</t>
  </si>
  <si>
    <t>Đường từ bản Nà Lâm xã Trường Xuân đi xã Trường Sơn, huyện Quảng Ninh</t>
  </si>
  <si>
    <t>NS tỉnh bố trí giai đoạn 2020-2021</t>
  </si>
  <si>
    <t>Nâng cấp, mở rộng đường liên xã từ thôn Tam Đa, xã Quảng Lưu đi tỉnh lộ 22B</t>
  </si>
  <si>
    <t>NS tỉnh 2020: 1,2 tỷ; 2021: 1,8 tỷ</t>
  </si>
  <si>
    <t>3487/QĐ-UBND ngày 19/10/2018</t>
  </si>
  <si>
    <t>Các tuyến đường nối trục N1 đến Trường Chính trị huyện Quảng Trạch</t>
  </si>
  <si>
    <t>NS tỉnh 2020: 2 tỷ; 2021: 2,8 tỷ</t>
  </si>
  <si>
    <t>3527/QĐ-UBND ngày 23/10/2018</t>
  </si>
  <si>
    <t>Nâng cấp, cải tạo Bãi xử lý rác thải huyện Quảng Trạch – giai đoạn II</t>
  </si>
  <si>
    <t>3561/QĐ-UBND ngày 24/10/2018</t>
  </si>
  <si>
    <t>Bê tông hóa đường nội thôn xã Quảng Châu</t>
  </si>
  <si>
    <t>NS tỉnh 2020: 0,9 tỷ; 2021: 0,9 tỷ</t>
  </si>
  <si>
    <t>3566/QĐ-UBND ngày 24/10/2018</t>
  </si>
  <si>
    <t>Khắc phục tuyến đường UBND xã thôn Bưởi Rõi xã Quảng Hợp</t>
  </si>
  <si>
    <t>NS tỉnh 2020: 2 tỷ; 2021: 5,2 tỷ</t>
  </si>
  <si>
    <t>3553/QĐ-UBND ngày 24/10/2018</t>
  </si>
  <si>
    <t>Khắc phục, sửa chữa khẩn cấp một số tuyến đường xung yếu trên địa bàn xã Phù Hóa, huyện Quảng Trạch</t>
  </si>
  <si>
    <t>Ý kiến đ/c Ngân PCT</t>
  </si>
  <si>
    <t>Đường từ Điện Thành Hoàng Vĩnh Lộc đến Cầu Chợ Ngang xã Quảng Lộc</t>
  </si>
  <si>
    <t>NS tỉnh 2020: 2,5 tỷ; 2021: 4,22 tỷ</t>
  </si>
  <si>
    <t>Ý kiến đ/c Quang PCT</t>
  </si>
  <si>
    <t>3570/QĐ-UBND ngày 24/10/2018</t>
  </si>
  <si>
    <t>Đường GTNT thôn Công Hòa xã Quảng Trung</t>
  </si>
  <si>
    <t>Ý kiến Giám đốc</t>
  </si>
  <si>
    <t>3584/QĐ-UBND ngày 25/10/2018</t>
  </si>
  <si>
    <t>Đường giao thông trên địa bàn Phường Quảng Thọ</t>
  </si>
  <si>
    <t>NS tỉnh 2020: 2 tỷ; 2021: 4 tỷ</t>
  </si>
  <si>
    <t>UBND phường
Quảng Thọ</t>
  </si>
  <si>
    <t>3572/QĐ-UBND ngày 24/10/2018</t>
  </si>
  <si>
    <t>Các tuyến đường liên thôn La Hà Nam đi La Hà Đông và tuyến đường La Hà Nam đi Văn Phú xã Quảng Văn</t>
  </si>
  <si>
    <t>Ý kiến đc Quang PCT</t>
  </si>
  <si>
    <t>3588/QĐ-UBND ngày 25/10/2018</t>
  </si>
  <si>
    <t>Đường lò vôi xã Vạn Ninh</t>
  </si>
  <si>
    <t>3577/QĐ-UBND ngày 25/10/2018</t>
  </si>
  <si>
    <t>Đường tránh lũ Long Đại - Hà Kiên</t>
  </si>
  <si>
    <t>3583/QĐ-UBND ngày 25/10/2018</t>
  </si>
  <si>
    <t>Đường tránh lũ kết hợp di dân sau hồ Rào Đá, xã Trường Xuân</t>
  </si>
  <si>
    <t>UBND xã Trường Xuân</t>
  </si>
  <si>
    <t>Ý kiến đ/c Giám đốc</t>
  </si>
  <si>
    <t>3705/QĐ-UBND ngày 30/10/2018</t>
  </si>
  <si>
    <t>Đường thôn Quy Hậu đi Quốc lộ 1A xã Liên Thủy</t>
  </si>
  <si>
    <t>3634/QĐ-UBND ngày 26/10/2018</t>
  </si>
  <si>
    <t>Xây dựng khẩn cấp hệ thống kè bảo vệ tuyến đê Vùng Lùng, xã Tân Thủy</t>
  </si>
  <si>
    <t>3582/QĐ-UBND ngày 26/10/2018</t>
  </si>
  <si>
    <t>Hệ thống kè bảo vệ tuyến đê Đập Bể, xã Lộc Thủy</t>
  </si>
  <si>
    <t>Ý kiến chủ tịch</t>
  </si>
  <si>
    <t>3650/QĐ-UBND ngày 26/10/2018</t>
  </si>
  <si>
    <t xml:space="preserve">Đường giao thông từ xã Ngư Thủy Nam đi xã Ngư Thủy Trung </t>
  </si>
  <si>
    <t>UBND xã Ngư Thủy Nam</t>
  </si>
  <si>
    <t>3632/QĐ-UBND ngày 26/10/2018</t>
  </si>
  <si>
    <t>Sửa chữa đường sản xuất và dân sinh xã Cam Thủy</t>
  </si>
  <si>
    <t>3652/QĐ-UBND ngày 26/10/2018</t>
  </si>
  <si>
    <t>Kè chống sạt lở Hói Miệu</t>
  </si>
  <si>
    <t>3668/QĐ-UBND ngày 29/10/2018</t>
  </si>
  <si>
    <t>Kè chống sạt lở Nam Hói Cùng</t>
  </si>
  <si>
    <t>3669/QĐ-UBND ngày 29/10/2018</t>
  </si>
  <si>
    <t>Đường từ thôn Hồng Giang xã Trường Thủy đi xã Văn Thủy</t>
  </si>
  <si>
    <t>3573/QĐ-UBND ngày 24/10/2018</t>
  </si>
  <si>
    <t>Hoàn thiện cầu Cà Roòng 2, xã Thượng Trạch</t>
  </si>
  <si>
    <t>Đang trình thẩm định chủ trương đầu tư</t>
  </si>
  <si>
    <t>Nâng cấp tuyến đường ngập lũ nối thôn Trung Thuận về thôn Nam Sơn, xã Phú Trạch</t>
  </si>
  <si>
    <t>Tuyến đường chính vào trung tâm thị trấn Quán Hàu, huyện Quảng Ninh</t>
  </si>
  <si>
    <t>NS xã bố trí năm 2018</t>
  </si>
  <si>
    <t>Nhà lớp học 2 tầng 8 phòng và HTKT Trường TH Sơn Thủy</t>
  </si>
  <si>
    <t>3857/QĐ-UBND ngày 30/10/2017; 2855/QĐ-UBND ngày 28/6/2018</t>
  </si>
  <si>
    <t>Trạm Y tế xã Quảng Châu cũ</t>
  </si>
  <si>
    <t>(Kèm theo Nghị quyết số……./NQ-HĐND ngày ……./12/2018 của Hội đồng nhân dân tỉnh)</t>
  </si>
  <si>
    <t>Bố trí cho các dự án không áp dụng quy định tiết kiệm 10% TMĐT quy định tại Nghị quyết số 70/NQ-CP ngày 03/8/2017 của Chính phủ</t>
  </si>
  <si>
    <t>Tuyến đường từ trục chính từ thị trấn Ba Đồn vào trung tâm huyện lỵ mới (GĐ1)</t>
  </si>
  <si>
    <t>1912/QĐ-UBND ngày 21/7/2014, 3351/QĐ-UBND ngày 22/9/2017</t>
  </si>
  <si>
    <t>Bổ sung một số công trình chưa có trong kế hoạch trung hạn còn thiếu vốn</t>
  </si>
  <si>
    <t>Sửa chữa nâng cấp Hồ Cải Cách</t>
  </si>
  <si>
    <t>791/QĐ-UBND ngày 19/4/2010, 2535/QĐ-CT ngày 22/10/2012</t>
  </si>
  <si>
    <t>Dự án đường Hải Trạch-Phú Định nối QL1A với đường Hồ Chí Minh</t>
  </si>
  <si>
    <t>141a/QĐ-UBND ngày 20/01/2012</t>
  </si>
  <si>
    <t>Sửa chữa nâng cấp Hồ Cây Mưng, huyện Lệ Thủy</t>
  </si>
  <si>
    <t>178/QĐ-UBND ngày 21/01/2014</t>
  </si>
  <si>
    <t>Công trình đã Quyết toán với giá trị QT là 13,354 tỷ đồng</t>
  </si>
  <si>
    <t>Các dự án bổ sung vốn trung hạn</t>
  </si>
  <si>
    <t>Điều chỉnh tăng TMĐT 2,9 tỷ</t>
  </si>
  <si>
    <t>Nhà lơp học 2 tầng 6 phòng Trường Tiểu học TT Quán Hàu</t>
  </si>
  <si>
    <t>1106/QĐ-UBND ngày 07/5/2014</t>
  </si>
  <si>
    <t>Theo đề án dự kiến giải thể, vì vậy đề nghị không bố trí vốn</t>
  </si>
  <si>
    <t>Năm 2018, vốn công an, 2019-2020 ngân sách tỉnh</t>
  </si>
  <si>
    <t>QĐ CTĐT không bố trí từng năm, năm 2018 NS huyện (chưa biết bố trí hay không)</t>
  </si>
  <si>
    <t>Đã sử dụng tiền bán trụ sở để khởi công; NS tỉnh bố trí 2 năm</t>
  </si>
  <si>
    <t xml:space="preserve"> </t>
  </si>
  <si>
    <t>Năm 2018 điều chỉnh giảm 1,1 tỷ do đã sử dụng nguồn vốn xã</t>
  </si>
  <si>
    <t>3151/QĐ-UBND ngày 20/9/2017</t>
  </si>
  <si>
    <t>Thay thế Dự án Nhà lớp học 8 phòng trường THPT Đồng Hới (VB số 137/HĐND-VP ngày 25/10/2018)</t>
  </si>
  <si>
    <t xml:space="preserve"> Điều chỉnh tăng TMĐT 2,157 tỷ (TT. HDDND tỉnh đồng ý tại VB số 147/HĐND-VP ngày 30/10/2018)</t>
  </si>
  <si>
    <t>Các dự án trong KH trung hạn đã cân đối nguồn</t>
  </si>
  <si>
    <t>Thay thế Dự án Nhà Hiệu bộ trường TH Lộc Ninh cơ sở 2 (thuộc KH trung hạn)</t>
  </si>
  <si>
    <t>Điều chỉnh năm khởi công từ 2020 thành 2019</t>
  </si>
  <si>
    <t>Thay thế dự án Trường THCS xã Nghĩa Ninh (2 tầng 6 phòng)</t>
  </si>
  <si>
    <t>Bố trí NS xã 2018</t>
  </si>
  <si>
    <t>TT. HĐND tỉnh đã đồng ý bổ sung trung hạn và bố trí từ năm 2019 (VB số 136/HĐND-VP ngày 25/10/2018) Năm 2018 đã bố trí vốn sự nghiệp y tế để thực hiện</t>
  </si>
  <si>
    <t>Chuyển NSTW bố trí</t>
  </si>
  <si>
    <t xml:space="preserve"> KH năm 2019</t>
  </si>
  <si>
    <t>Kế hoạch
2019</t>
  </si>
  <si>
    <t>Kế hoạch
2018</t>
  </si>
  <si>
    <t>NS Tỉnh bố trí 2019</t>
  </si>
  <si>
    <t>DA ĐÃ CÓ TRONG KH ĐTC TRUNG HẠN</t>
  </si>
  <si>
    <t>DA ĐÃ CÓ TRONG KH ĐTC TRUNG HẠN (Điều chỉnh)</t>
  </si>
  <si>
    <t>DA CHƯA CÓ TRONG KH ĐTC TRUNG HẠN (Bổ sung)</t>
  </si>
  <si>
    <t>BS DM + NST 2019</t>
  </si>
  <si>
    <t>BS vốn + NST 2019</t>
  </si>
  <si>
    <t>DỰ PHÒNG ĐỐI ỨNG ODA PHÁT SINH</t>
  </si>
  <si>
    <t>3775/QĐ-UBND ngày 31/10/2018</t>
  </si>
  <si>
    <t>3346/QĐ-UBND ngày 09/10/2018</t>
  </si>
  <si>
    <t>3681/QĐ-UBND ngày 29/10/2018</t>
  </si>
  <si>
    <t>3773/QĐ-UBND ngày 31/10/2018</t>
  </si>
  <si>
    <t>2132/QĐ-UBND ngày 19/9/2018</t>
  </si>
  <si>
    <t>Đề nghị bố trí vốn trả nợ cho dự án (trong đó GPMB là 4,187 tỷ đồng, Xây lắp và các chi phí khác 1,516 tỷ đồng)</t>
  </si>
  <si>
    <t>Công trình dừng ở điểm dừng kỹ thuật, còn thiếu 2,5 tỷ đồng</t>
  </si>
  <si>
    <t>Thay thế Dự án Quần thể tượng đài Chủ tịch Hồ Chí Minh (TT HĐND tỉnh thống nhất tại Văn bản số 41/HĐND-VP ngày 24/5/2018). Sở XD dự kiến năm 2019-2020  thu khoảng 70% tổng số tiền của dự án Nhà ở thương mại Nam Cầu Dài (0,7x240 tỷ đồng = 168 tỷ đồng)</t>
  </si>
  <si>
    <t>Đề xuất bổ sung 7,046 tỷ đồng so với kế hoạch trung hạn đã thông qua</t>
  </si>
  <si>
    <t>Đề nghị tiếp tục bổ sung vốn cho dự án. (Đây là công trình NSTW hỗ trợ đã hết nguồn, số vốn NS tỉnh còn thiếu là 5,26 tỷ đồng)</t>
  </si>
  <si>
    <t>3885/QĐ-UBND ngày 31/10/2018</t>
  </si>
  <si>
    <t>BỔ SUNG VỐN CHO:  (i) Các dự án không thuộc đối tượng tiết kiệm 10%, và (ii) Các dự án nhỏ lẻ đã hoàn thành, quyết toán</t>
  </si>
  <si>
    <t>Dự án thoát nước và vệ sinh đô thị Ba Đồn (Đan Mạch)</t>
  </si>
  <si>
    <t>Đ/chỉnh TMĐT 3,7 &gt;&gt; 6,6 tỷ</t>
  </si>
  <si>
    <t>Đ/chỉnh TMĐT 5,5 &gt;&gt; 7,7 tỷ</t>
  </si>
  <si>
    <t>Đ/chỉnh NS Tỉnh 6,0 &gt;&gt; 13,1 tỷ</t>
  </si>
  <si>
    <t>Đường vào bản Đìu Đo (GĐ2)</t>
  </si>
  <si>
    <t>2018: Vốn khác
BS DM + NST 2019</t>
  </si>
  <si>
    <t>Đường nối thôn Tân Hòa và Tân Thuận, xã Ngư Thủy Bắc, huyện Lệ Thủy</t>
  </si>
  <si>
    <t>Đaã phê duyệt chủ trương đầu tư</t>
  </si>
  <si>
    <t>Năm 2018 đã bố trí ngân sách phường, điều chỉnh tăng trung hạn từ 500 lên 3 tỷ</t>
  </si>
  <si>
    <t>Nguồn khác</t>
  </si>
  <si>
    <t>PHỤ LỤC 01: CƠ CẤU PHÂN BỔ NGUỒN VỐN ĐẦU TƯ CÔNG NĂM 2019</t>
  </si>
  <si>
    <t>BS Vốn + NST 2019</t>
  </si>
  <si>
    <t>Điều chỉnh HT 2018 &gt;&gt; 2019</t>
  </si>
  <si>
    <t>1 Đồng Hới</t>
  </si>
  <si>
    <t>2 Bố Trạch</t>
  </si>
  <si>
    <t>3 Quảng Trạch</t>
  </si>
  <si>
    <t>4 Lệ Thủy</t>
  </si>
  <si>
    <t>5 Quảng Ninh</t>
  </si>
  <si>
    <t>6 Ba Đồn</t>
  </si>
  <si>
    <t>7 Tuyên Hóa</t>
  </si>
  <si>
    <t>8 Minh Hóa</t>
  </si>
  <si>
    <t>Cộng</t>
  </si>
  <si>
    <t>DANH MỤC DỰ ÁN</t>
  </si>
  <si>
    <t>Địa điểm</t>
  </si>
  <si>
    <t>KH thu 2019</t>
  </si>
  <si>
    <t>Tỷ lệ CFHT</t>
  </si>
  <si>
    <t>CF Hạ tầng</t>
  </si>
  <si>
    <t>KH thu ròng 2019</t>
  </si>
  <si>
    <t>CF trích đo 10%</t>
  </si>
  <si>
    <t>Số thu 2019 phân bổ</t>
  </si>
  <si>
    <t>Trích QPT đất</t>
  </si>
  <si>
    <t>Tỷ lệ ĐF hưởng</t>
  </si>
  <si>
    <t>QPT đất hưởng</t>
  </si>
  <si>
    <t>NSĐF hưởng</t>
  </si>
  <si>
    <t>NS tỉnh hưởng</t>
  </si>
  <si>
    <t>B/gom 93 tỷ đất</t>
  </si>
  <si>
    <t>CÁC DỰ ÁN NHÀ Ở THƯƠNG MẠI</t>
  </si>
  <si>
    <t>Dự án Khu đô thị Nam Cầu dài (Mũi Sác)</t>
  </si>
  <si>
    <t>Dự án Khu nhà ở thương mại phía Tây mương Phóng Thủy, phường Bắc Lý</t>
  </si>
  <si>
    <t>Dự án Khu đô thị mới tại Phường Phú Hải</t>
  </si>
  <si>
    <t>Khu nhà ở thương mại phía Nam đường Trần Hưng Đạo, giáp với Đài phát sóng, phát thanh Đồng Hới</t>
  </si>
  <si>
    <t xml:space="preserve">Dự án Khu nhà ở thương mại phía Bắc đường Trần Quang Khải </t>
  </si>
  <si>
    <t>Dự án Khu nhà ở thương mại phía Đông sông Lệ Kỳ, phường Phú Hải, thành phố Đồng Hới</t>
  </si>
  <si>
    <t>Dự án Khu nhà ở thương mại phía Bắc kênh Phóng Thủy, phường Đồng Phú, Đồng Hới</t>
  </si>
  <si>
    <t>Khu đô thị Bảo Ninh 1</t>
  </si>
  <si>
    <t>Khu đô thị Bảo Ninh 2</t>
  </si>
  <si>
    <t xml:space="preserve">Dự án Khu nhà ở thương mại phía Đông đường Phùng Hưng, phường Đồng Phú, thành phố Đồng Hới </t>
  </si>
  <si>
    <t>Dự án khu nhà ở thương mại phía Tây Nam đường Lý Thánh Tông, đoạn từ đường F325 đến đường Trương Phúc Phấn</t>
  </si>
  <si>
    <t>Dự án Khu nhà ở thương mại tại Trung tâm hành chính phường Đức Ninh Đông</t>
  </si>
  <si>
    <t>Khu đô thị Bảo Ninh 3</t>
  </si>
  <si>
    <t>Dự án Khu nhà ở thương mại phía Tây Nam đường Lý Thái Tổ, phường Bắc Nghĩa, thành phố Đồng Hới</t>
  </si>
  <si>
    <t>Dự án Khu nhà ở thương mại xã Trung Trạch, huyện Bố Trạch</t>
  </si>
  <si>
    <t xml:space="preserve">NTM 2015 </t>
  </si>
  <si>
    <t>Khu nhà ở thương mại tại trung tâm hành chính mới xã Nhân Trạch</t>
  </si>
  <si>
    <t>Dự án Khu nhà ở thương mại xã Lý Trạch, huyện Bố Trạch</t>
  </si>
  <si>
    <t>Dự án Khu nhà ở thương mại xã Phú Trạch, huyện Bố Trạch</t>
  </si>
  <si>
    <t>Dự án Khu nhà ở thương mại phía Đông ngoài trung tâm hành chính huyện lỵ mới Quảng Trạch</t>
  </si>
  <si>
    <t>NS QT hưởng 100%</t>
  </si>
  <si>
    <t>Dự án Khu nhà ở thương mại tại trung tâm hành chính huyện lỵ mới huyện Quảng Trạch</t>
  </si>
  <si>
    <t>Dự án Khu nhà ở thương mại tại thị trấn Kiến Giang và xã Liên Thủy (Kiến giang hưởng)</t>
  </si>
  <si>
    <t>Dự án Khu nhà ở thương mại tại thị trấn Kiến Giang và xã Liên Thủy (Liên Thủy hưởng)</t>
  </si>
  <si>
    <t>Dự án Khu nhà ở thương mại thị trấn Nông trường Lệ Ninh</t>
  </si>
  <si>
    <t>Dự án Khu nhà ở thương mại thôn Hà Thiệp – Bắc Ninh</t>
  </si>
  <si>
    <t>NTM 2016</t>
  </si>
  <si>
    <t>Dự án Khu nhà ở thương mại tại vùng ruộng Nhất, thị trấn Quán Hàu</t>
  </si>
  <si>
    <t>Dự án khu nhà ở thương mại Đá Lả</t>
  </si>
  <si>
    <t>(*)</t>
  </si>
  <si>
    <t>Dự án Khu nhà ở thương mại phường Quảng Phong, giáp mương tưới Tiên Lang</t>
  </si>
  <si>
    <t>Dự án Khu nhà ở thương mại tại phường Quảng Phong, thị xã Ba Đồn</t>
  </si>
  <si>
    <t>DA PTHT QUỸ ĐẤT - SỞ XÂY DỰNG</t>
  </si>
  <si>
    <t xml:space="preserve">Dự án KDC phía Tây đường Hữu Nghị </t>
  </si>
  <si>
    <t>Dự án Khu dân cư ven sông Lệ Kỳ dọc theo tuyến đường 36m, phường Đức Ninh Đông</t>
  </si>
  <si>
    <t>Dự án KDC phía Tây Bắc đường Lê Lợi, phường Đức Ninh Đông</t>
  </si>
  <si>
    <t>DA PTHT QUỸ ĐẤT - TT PT QUỸ ĐẤT</t>
  </si>
  <si>
    <t>Dự án tạo quỹ đất khu dân cư phía Đông đường Phùng Hưng</t>
  </si>
  <si>
    <t>Dự án Tạo quỹ đất Khu đô thị Sa Động</t>
  </si>
  <si>
    <t>Tạo quỹ đất Khu dân cư phía Đông Nam đường Lê Lợi</t>
  </si>
  <si>
    <t>Dự án Tạo quỹ đất khu dân cư phía Bắc đường Lê Lợi, phường Bắc Nghĩa, thành phố Đồng Hới</t>
  </si>
  <si>
    <t>Dự án Tạo quỹ đất Khu đô thị Sa Động (phần mở rộng)</t>
  </si>
  <si>
    <t>DA PTHT QUỸ ĐẤT - ĐỒNG HỚI</t>
  </si>
  <si>
    <t>Dự án HTKT đất ở khu vực Hồ Nam Lý</t>
  </si>
  <si>
    <t>HTKT khu đất ở Vùng Tằm thôn 8, xã Lộc Ninh</t>
  </si>
  <si>
    <t>NTM 2015</t>
  </si>
  <si>
    <t>HTKT Khu đất ở Tổ dân phố 9, phường Bắc Lý</t>
  </si>
  <si>
    <t>HTKT khu dân cư thôn Sa Động, xã Bảo Ninh</t>
  </si>
  <si>
    <t>NTM 2014</t>
  </si>
  <si>
    <t>DA HTKT KDC Tổ DP 9, phường Bắc Lý</t>
  </si>
  <si>
    <t>DA HTKT tại KV Bàu Bồng, thôn Đức Thị, xã Đức Ninh</t>
  </si>
  <si>
    <t>Các lô đất lẻ dọ bờ sông Mỹ Cảnh</t>
  </si>
  <si>
    <t>DA HTKT KDC phía Đông mương Phóng Thủy, phường Đồng Phú</t>
  </si>
  <si>
    <t>Hạ tầng mới thôn Bắc Phú, xã Quang Phú</t>
  </si>
  <si>
    <t>DA HTKT  Tổ DP 4 ( khu vực đổi 32 , phường Bắc Lý</t>
  </si>
  <si>
    <t>DAHTKT KDC phía Nam đường Cao Thắng, xã Lộc Ninh, TP Đồng Hới</t>
  </si>
  <si>
    <t>HTKT KDC thôn Trung Bính, xã Bảo Ninh</t>
  </si>
  <si>
    <t xml:space="preserve">Thu tiền sử dụng đất </t>
  </si>
  <si>
    <t>Không hạ tầng</t>
  </si>
  <si>
    <t>DA PTHT QUỸ ĐẤT - BA ĐỒN</t>
  </si>
  <si>
    <t>Tạo và phát triển đất khu dân cư Đồng dọc Chùa và Đồng san bằng thông Vĩnh Phước Tây, xã Quảng Lộc</t>
  </si>
  <si>
    <t>PTQĐ KDC phía sau trường THCS thôn Nam Thủy, Quảng Thủy</t>
  </si>
  <si>
    <t>DA XD KDC dọc kênh Cầu Phóoc đến QL 12A và KDC Nam Giếng Cau, Ba Đồn</t>
  </si>
  <si>
    <t>DA HTKT tạo quỹ đất KDC phía Nam đường Hùng Vương, thị xã Ba Đồn (giai đoạn 1)</t>
  </si>
  <si>
    <t>DA PTQĐ tổ DP 8, phường Quảng Phong, TX Ba Đồn</t>
  </si>
  <si>
    <t>PTQĐ TDP7 và TDP 8, phường Quảng Phong và Dự án Khu dân cư Hạ Cồn dưới thuộc TDP6 và Vĩnh Trèn trên thuộc TDP7, phường Quảng Phong</t>
  </si>
  <si>
    <t>Quy hoạch điểm dân cư đơn sa phường Quảng Phúc</t>
  </si>
  <si>
    <t>Quy hoạch TDP Tiền Phong, phường Quảng Long</t>
  </si>
  <si>
    <t>Khu dân cư Đồng muc, xóm Cầu ( GĐ 2) Quảng Phúc</t>
  </si>
  <si>
    <t xml:space="preserve">Thu tiền đất sạch </t>
  </si>
  <si>
    <t>DA PTHT QUỸ ĐẤT - BỐ TRẠCH</t>
  </si>
  <si>
    <t>Dự án PT quỹ đất khu vực thôn Chày và khu vực thôn 3 Phúc Đồng, xã Phúc Trạch</t>
  </si>
  <si>
    <t>Tạo quỹ đất khu vực thôn Xuân Sơn, Sơn Trạch</t>
  </si>
  <si>
    <t>DA tạo quỹ đất ở thôn Đức Trung, xã Đức Trạch</t>
  </si>
  <si>
    <t>DA tạo quỹ đất ở thôn Tân Nẫm, xã Cự Nẫm, huyện Bố Trạch</t>
  </si>
  <si>
    <t>DA tạo quỹ đất ở thôn Hà Lồi, xã Thanh Trạch</t>
  </si>
  <si>
    <t>Thị trấn Hoàn Lão</t>
  </si>
  <si>
    <t>Trung Trạch</t>
  </si>
  <si>
    <t>Nhân Trạch</t>
  </si>
  <si>
    <t>( tạm tính )</t>
  </si>
  <si>
    <t>DA PTHT QUỸ ĐẤT - LỆ THỦY</t>
  </si>
  <si>
    <t>Xây dựng HTKT quỹ đất thôn Ninh Lộc, xã Hoa Thủy</t>
  </si>
  <si>
    <t>XDHTKT khu đất ở mới TTNT Lệ Ninh - GĐ1</t>
  </si>
  <si>
    <t>DA XDHT KT khu đất ở mới TT Kiến Giang (GĐ 1)</t>
  </si>
  <si>
    <t>DA XDHTKT Khu DC thôn Đông Thành, xã Liên Thủy, huyện Lệ Thủy</t>
  </si>
  <si>
    <t>DA tạo quỹ đất ở thôn Phan Xá, xã Xuân Thủy, huyện Lệ Thủy</t>
  </si>
  <si>
    <t>Dự án phát triển quỷ đất tại Kiến Giang-Xuân Thủy</t>
  </si>
  <si>
    <t>Dự án phát triển quỷ đất để lấy đấu giá QSD đất tại khu vực trung tâm xã Ngư Thủy Bắc</t>
  </si>
  <si>
    <t>Dự án phát triển quỷ đát tại xã Mai Thủy</t>
  </si>
  <si>
    <t>Dự án khu dân cư tại xã Liên Thủy</t>
  </si>
  <si>
    <t>Dự án khu dân cư Thượng Phong, Phong Thủy</t>
  </si>
  <si>
    <t>Tạm tính</t>
  </si>
  <si>
    <t>DA PTHT QUỸ ĐẤT - QUẢNG NINH</t>
  </si>
  <si>
    <t>Dự án XDHTKT khu đô thị Dinh Mười</t>
  </si>
  <si>
    <t>DA XDHTKT Khu DC Đồng Hang,tiểu khu 4, TT Quán Hàu</t>
  </si>
  <si>
    <t>võ ninh</t>
  </si>
  <si>
    <t>Tân ninh</t>
  </si>
  <si>
    <t>Gia ninh</t>
  </si>
  <si>
    <t>lương ninh</t>
  </si>
  <si>
    <t>Vĩnh ninh</t>
  </si>
  <si>
    <t>quán hàu</t>
  </si>
  <si>
    <t>DA PTHT QUỸ ĐẤT - QUẢNG TRẠCH</t>
  </si>
  <si>
    <t>KDC thon Di LỘc, khu đồng muối thôn Di Lộc xã Quảng Tùng</t>
  </si>
  <si>
    <t xml:space="preserve">Đường giao thông khu quy hoạch thôn 1 Tú Loan xã Quảng Bình giai đoạn </t>
  </si>
  <si>
    <t>NTM 2019</t>
  </si>
  <si>
    <t>HTKT Khu quy hoạch chi tiết xây dựng khu ở mới Đồng Trạm, thôn Phú Lộc 4, xã Quảng Phú, huyện Quảng Trạch</t>
  </si>
  <si>
    <t>Hạ tầng kỷ thuật khu quy hoạch chi tiết xây dựng khu ở mới thôn Xuân Hòa xã Quảng Xuân</t>
  </si>
  <si>
    <t>Khu đất chòm 2 vùng Thanh Sơn, 3 lô xen cư xã Quảng Thanh</t>
  </si>
  <si>
    <t>Hồ trong, hồ ngoài thôn Tô Xá, Rú Côi, Rú Cung thôn Pháp Kệ và một số lô đất xen cư xã Quảng Phương</t>
  </si>
  <si>
    <t>Khu mới thôn Kinh Tân xã Cảnh Hóa</t>
  </si>
  <si>
    <t>DA PTHT QUỸ ĐẤT - BQL XÂY DỰNG DD</t>
  </si>
  <si>
    <t>DA PTHT QUỸ ĐẤT - TUYÊN HÓA</t>
  </si>
  <si>
    <t>DA PTHT QUỸ ĐẤT - MINH HÓA</t>
  </si>
  <si>
    <t>TỔNG NGUỒN</t>
  </si>
  <si>
    <t>PHÂN CHIA TỈNH/HUYỆN</t>
  </si>
  <si>
    <t>NGUỒN VỐN TỈNH PHÂN BỔ</t>
  </si>
  <si>
    <t>Đ/c tăng tổng mức đầu tư từ 5,5 tỷ đồng lên 8,6 tỷ theo QĐ chủ trương đầu tư. Bố trí vốn từ năm 2019
KHV trung hạn 500 &gt;&gt; 5160</t>
  </si>
  <si>
    <t>TMĐT 5,5 &gt;&gt; 8,6 tỷ
BS Vốn + NST 2019</t>
  </si>
  <si>
    <t>PHỤ LỤC 02: PHƯƠNG ÁN PHÂN BỔ VỐN ĐẦU TƯ CÔNG NĂM 2019</t>
  </si>
  <si>
    <t>Địa phương</t>
  </si>
  <si>
    <t>CF trích đo</t>
  </si>
  <si>
    <t>Phân bổ nguồn đất</t>
  </si>
  <si>
    <t>NS tỉnh hưởng 100% (TĐ)</t>
  </si>
  <si>
    <t>NS tỉnh hưởng 100% (TP)</t>
  </si>
  <si>
    <t>Dự án tạo quỹ đất KDC Đức Sơn, phía Tây Bắc đường Lê Lợi</t>
  </si>
  <si>
    <t>Đất đô thị</t>
  </si>
  <si>
    <t>Đất tại xã</t>
  </si>
  <si>
    <t>Đ/chỉnh HT &gt;&gt; 2020
BSV 15 &gt;&gt; 43,5 tỷ</t>
  </si>
  <si>
    <t>Đ/chỉnh HT &gt;&gt; 2020
BSV 15 &gt;&gt; 43,0 tỷ</t>
  </si>
  <si>
    <t>PHỤ LỤC 04: PHÂN BỔ CHI TIẾT CÁC LĨNH VỰC KẾ HOẠCH ĐẦU TƯ CÔNG NĂM 2019</t>
  </si>
  <si>
    <t>Phụ lục 10: Đầu tư hạ tầng Khu Kinh tế cửa khẩu Cha Lo</t>
  </si>
  <si>
    <t>Phụ lục 11: Đầu tư các công trình tại Vườn Quốc gia Phong Nha – Kẻ Bàng</t>
  </si>
  <si>
    <t>Phụ lục 12: Các Chương trình mục tiêu phân cấp về ngân sách tỉnh</t>
  </si>
  <si>
    <t>Phụ lục 13: Các công trình trọng điểm</t>
  </si>
  <si>
    <t>Phụ lục 14: Các dự án chuyển tiếp</t>
  </si>
  <si>
    <t>Phụ lục 15: Các dự án khởi công mới</t>
  </si>
  <si>
    <t>Phụ lục 05: Lĩnh vực Khoa học công nghệ</t>
  </si>
  <si>
    <t>Phụ lục 06: Lĩnh vực Giáo dục đào tạo</t>
  </si>
  <si>
    <t>Phụ lục 07: Lĩnh vực Y tế</t>
  </si>
  <si>
    <t>Phụ lục 08: Trả nợ xây dựng cơ bản</t>
  </si>
  <si>
    <t>Phụ lục 09: Đối ứng các dự án ODA</t>
  </si>
  <si>
    <t>Quảng trường biển xã Trung Trạch, huyện Bố Trạch</t>
  </si>
  <si>
    <t>Trường Tiểu học Hải Trạch</t>
  </si>
  <si>
    <t>Trung C bổ sung 19.11</t>
  </si>
  <si>
    <t>Chưa đấu thầu (giải ngân 0%), kéo dài GNV 2018.</t>
  </si>
  <si>
    <t>3889/QĐ-UBND ngày 31/10/2018</t>
  </si>
  <si>
    <t>3716/QĐ-UBND ngày 30/10/2018</t>
  </si>
  <si>
    <t>3772/QĐ-UBND ngày 31/10/2018</t>
  </si>
  <si>
    <t>Đền thờ Bác Hồ</t>
  </si>
  <si>
    <t>Bổ sung 20.11</t>
  </si>
  <si>
    <t>Năm 2018, đã bố trí nguồn vượt thu để thực hiện 24 tỷ đồng. Công trình thuộc diện tiết kiệm 10% TMĐT</t>
  </si>
  <si>
    <t>Đ/c từ 16&gt;&gt;14,4 do tiết kiệm 10% TMĐT</t>
  </si>
  <si>
    <t>Nhà lớp học 8 phòng 2 tầng trường THCS Quảng Hải</t>
  </si>
  <si>
    <t>Điều chỉnh ngày 20.11</t>
  </si>
  <si>
    <t>Hạ tầng kỹ thuật nối quy hoạch khu vực phía Đông ngã ba thị trấn Hoàn Lão ra biển Trung Trạch</t>
  </si>
  <si>
    <t>Trung C bổ sung 20.11</t>
  </si>
  <si>
    <t>Tách từ DA Quần thể Tượng đài</t>
  </si>
  <si>
    <t>Tỷ trọng</t>
  </si>
  <si>
    <t>Bố trí 2 năm &lt;&lt;2000
BS DM + NST 2019</t>
  </si>
  <si>
    <t>Đường liên thôn xã Đại Trạch, huyện Bố Trạch</t>
  </si>
  <si>
    <t>Ngọc Đ bổ sung 21.11</t>
  </si>
  <si>
    <t>3818/QD-UBND ngày 31/10/2018</t>
  </si>
  <si>
    <t>3827/QĐ-UBND ngày 31/10/2018</t>
  </si>
  <si>
    <t>3825/QĐ-UBND ngày 31/10/2018</t>
  </si>
  <si>
    <t>3804/QĐ-UBND ngày 31/10/2018</t>
  </si>
  <si>
    <t>3786/QĐ-UBND ngày 31/10/2018</t>
  </si>
  <si>
    <t>3806/QĐ-UBND ngày 31/10/2018</t>
  </si>
  <si>
    <t>3824/QĐ-UBND ngày 31/10/2018</t>
  </si>
  <si>
    <t>3800/QĐ-UBND ngày 31/10/2018</t>
  </si>
  <si>
    <t>3795/QĐ-UBND ngày 31/10/2018</t>
  </si>
  <si>
    <t>3779/QĐ-UBND ngày 31/10/2018</t>
  </si>
  <si>
    <t>3780/QĐ-UBND ngày 31/10/2018</t>
  </si>
  <si>
    <t>3807/QĐ-UBND ngày 31/10/2018</t>
  </si>
  <si>
    <t>3808/QĐ-UBND ngày 31/10/2018</t>
  </si>
  <si>
    <t>3782/QĐ-UBND ngày 31/10/2018</t>
  </si>
  <si>
    <t>3820/QĐ-UBND ngày 31/10/2018</t>
  </si>
  <si>
    <t>3819/QĐ-UBND ngày 31/10/2018</t>
  </si>
  <si>
    <t>3875/QĐ-UBND ngày 31/10/2018</t>
  </si>
  <si>
    <t>3798/QĐ-UBND ngày 31/10/2018</t>
  </si>
  <si>
    <t>3874/QĐ-UBND ngày 31/10/2018</t>
  </si>
  <si>
    <t>3812/QĐ-UBND ngày 31/10/2018</t>
  </si>
  <si>
    <t>3811/QĐ-UBND ngày 31/10/2018</t>
  </si>
  <si>
    <t>3809/QĐ-UBND ngày 31/10/2018</t>
  </si>
  <si>
    <t>3813/QĐ-UBND ngày 31/10/2018</t>
  </si>
  <si>
    <t>3803/QĐ-UBND ngày 31/10/2018</t>
  </si>
  <si>
    <t>3776/QĐ-UBND ngày 31/10/2018</t>
  </si>
  <si>
    <t>3802/QĐ-UBND ngày 31/10/2018</t>
  </si>
  <si>
    <t>3832/QĐ-UBND ngày 31/10/2018</t>
  </si>
  <si>
    <t>3823/QĐ-UBND ngày 31/10/2018</t>
  </si>
  <si>
    <t>3796/QĐ-UBND ngày 31/10/2018</t>
  </si>
  <si>
    <t>3694/QĐ-UBND ngày 30/10/2018</t>
  </si>
  <si>
    <t>3224/QĐ-UBND ngày 27/9/2018</t>
  </si>
  <si>
    <t>3888/QĐ-UBND ngày 31/10/2018</t>
  </si>
  <si>
    <t>3728/QĐ-UBND ngày 30/10/2018</t>
  </si>
  <si>
    <t>NS tỉnh hỗ trợ giảm từ 3000 xuong 2700</t>
  </si>
  <si>
    <t>TMĐT giảm từ 
8500 xuong 6700</t>
  </si>
  <si>
    <t>NS tỉnh hỗ trợ 
giảm từ 5100 xuong 4020</t>
  </si>
  <si>
    <t>3794/QĐ-UBND ngày 31/10/2018</t>
  </si>
  <si>
    <t>3788/QĐ-UBND ngày 31/10/2018</t>
  </si>
  <si>
    <t>3886/QĐ-UBND ngày 31/10/2018</t>
  </si>
  <si>
    <t>3791/QĐ-UBND ngày 31/10/2018</t>
  </si>
  <si>
    <t>3520/QĐ-UBND ngày 23/10/2018</t>
  </si>
  <si>
    <t>3725/QĐ-UBND ngày 30/10/2018</t>
  </si>
  <si>
    <t>3670/QĐ-UBND ngày 29/10/2018</t>
  </si>
  <si>
    <t>3726/QĐ-UBND ngày 30/10/2018</t>
  </si>
  <si>
    <t>3724/QĐ-UBND ngày 30/10/2018</t>
  </si>
  <si>
    <t>3831/QĐ-UBND ngày 31/10/2018</t>
  </si>
  <si>
    <t>3830/QĐ-UBND ngày 31/10/2018</t>
  </si>
  <si>
    <t>3805/QĐ-UBND ngày 31/10/2018</t>
  </si>
  <si>
    <t>3727/QĐ-UBND ngày 30/10/2018</t>
  </si>
  <si>
    <t>3734/QĐ-UBND ngày 30/10/2018</t>
  </si>
  <si>
    <t>3801/QĐ-UBND ngày 31/10/2018</t>
  </si>
  <si>
    <t>3887/QĐ-UBND ngày 31/10/2018</t>
  </si>
  <si>
    <t>3883/QĐ-UBND ngày 31/10/2018</t>
  </si>
  <si>
    <t>3736/QĐ-UBND ngày 30/10/2018</t>
  </si>
  <si>
    <t>3735/QĐ-UBND ngày 30/10/2018</t>
  </si>
  <si>
    <t>3793/QĐ-UBND ngày 31/10/2018</t>
  </si>
  <si>
    <t>3797/QĐ-UBND ngày 31/10/2018</t>
  </si>
  <si>
    <t>3729/QĐ-UBND ngày 30/10/2018</t>
  </si>
  <si>
    <t>3826/QĐ-UBND ngày 31/10/2018</t>
  </si>
  <si>
    <t>3730/QĐ-UBND ngày 30/10/2018</t>
  </si>
  <si>
    <t>3784/QĐ-UBND ngày 31/10/2018</t>
  </si>
  <si>
    <t>3781/QĐ-UBND ngày 31/10/2018</t>
  </si>
  <si>
    <t>3828/QĐ-UBND ngày 31/10/2018</t>
  </si>
  <si>
    <t>3829/QĐ-UBND ngày 31/10/2018</t>
  </si>
  <si>
    <t>3783/QĐ-UBND ngày 31/10/2018</t>
  </si>
  <si>
    <t>3732/QĐ-UBND ngày 30/10/2018</t>
  </si>
  <si>
    <t>3733/QĐ-UBND ngày 30/10/2018</t>
  </si>
  <si>
    <t>3778/QĐ-UBND ngày 31/10/2018</t>
  </si>
  <si>
    <t>3777/QĐ-UBND ngày 31/10/2018</t>
  </si>
  <si>
    <t>3884/QĐ-UBND ngày 31/10/2018</t>
  </si>
  <si>
    <t>3785/QĐ-UBND ngày 31/10/2018</t>
  </si>
  <si>
    <t>3822/QĐ-UBND ngày 31/10/2018</t>
  </si>
  <si>
    <t>Loại khỏi danh mục</t>
  </si>
  <si>
    <t>3789/QĐ-UBND ngày 31/10/2018</t>
  </si>
  <si>
    <t>3790/QĐ-UBND ngày 31/10/2018</t>
  </si>
  <si>
    <t>3787/QĐ-UBND ngày 31/10/2018</t>
  </si>
  <si>
    <t>3792/QĐ-UBND ngày 31/10/2018</t>
  </si>
  <si>
    <t>3731/QĐ-UBND ngày 30/10/2018</t>
  </si>
  <si>
    <t>Bố trí 1 tỷ nguồn vượt thu cho dự án Hệ thống kè bảo vệ tuyến Đập Bể, huyện Lệ Thủy, có sai khác về tên danh mục</t>
  </si>
  <si>
    <t>Bố trí vốn vượt thu 1.5 tỷ đồng</t>
  </si>
  <si>
    <t>Đã bố trí vốn vượt thu 1,3 tỷ</t>
  </si>
  <si>
    <t>Bố trí vượt thu 2 tỷ</t>
  </si>
  <si>
    <t>Bố trí vượt thu 1,5 tỷ</t>
  </si>
  <si>
    <t>Bố trí vượt thu 4 tỷ gđ 1, sửa lại danh mục có thêm chữ gd2</t>
  </si>
  <si>
    <t>Đường tránh lũ Vĩnh Tuy 1,2,3,4 xã Vĩnh Ninh, huyện Quảng Ninh (giai đoạn 2)</t>
  </si>
  <si>
    <t>Bố trí 2 tỷ vốn vượt thu</t>
  </si>
  <si>
    <t>Theo CTĐT: Vốn ĐTC 3 tỷ, vốn Tài chính 2,4 tỷ, vốn huyện 3,6 tỷ. Bố trí vốn vượt thu 1 tỷ</t>
  </si>
  <si>
    <t>Bố trí vốn vượt thu 1,5 tỷ cho công trình Sửa chữa, nâng cấp tuyến đường liên thôn xã Phong Hóa, huyện Tuyên Hóa; có sai khác tên so danh mục này</t>
  </si>
  <si>
    <t>Bố trí 1 ,5 tỷ vốn vượt thu</t>
  </si>
  <si>
    <t>Bố trí 1 tỷ vốn vượt thu</t>
  </si>
  <si>
    <t>Khởi công 2020</t>
  </si>
  <si>
    <t>Điều chỉnh tăng NS tỉnh từ 9,600 lên 9,800</t>
  </si>
  <si>
    <t>TMĐT giảm từ 5000 xuong 4500</t>
  </si>
  <si>
    <t>3869/QĐ-UBND ngày 31/10/2018</t>
  </si>
  <si>
    <t>3833/QĐ-UBND ngày 31/10/2018</t>
  </si>
  <si>
    <t>3861/QĐ-UBND ngày 31/10/2018</t>
  </si>
  <si>
    <t>3862/QĐ-UBND ngày 31/10/2018</t>
  </si>
  <si>
    <t>3871/QĐ-UBND ngày 31/10/2018</t>
  </si>
  <si>
    <t>3834/QĐ-UBND ngày 31/10/2018</t>
  </si>
  <si>
    <t>3864/QĐ-UBND ngày 31/10/2018</t>
  </si>
  <si>
    <t>3870/QĐ-UBND ngày 31/10/2018</t>
  </si>
  <si>
    <t>3865/QĐ-UBND ngày 31/10/2018</t>
  </si>
  <si>
    <t>3737/QĐ-UBND ngày 30/10/2018</t>
  </si>
  <si>
    <t>3814/QĐ-UBND ngày 31/10/2018</t>
  </si>
  <si>
    <t>3815/QĐ-UBND ngày 31/10/2018</t>
  </si>
  <si>
    <t>Quảng Trung</t>
  </si>
  <si>
    <t>Quảng Sơn</t>
  </si>
  <si>
    <t>Trường Xuân</t>
  </si>
  <si>
    <t>Cảnh Dương</t>
  </si>
  <si>
    <t>Phong Hóa</t>
  </si>
  <si>
    <t>Quảng Xuân</t>
  </si>
  <si>
    <t>Quảng Long</t>
  </si>
  <si>
    <t>Quảng Phương</t>
  </si>
  <si>
    <t>Vĩnh Ninh</t>
  </si>
  <si>
    <t>Sơn Hóa</t>
  </si>
  <si>
    <t>Quảng Trường</t>
  </si>
  <si>
    <t>Cao Quảng</t>
  </si>
  <si>
    <t>Duy Ninh</t>
  </si>
  <si>
    <t>Xuân Ninh</t>
  </si>
  <si>
    <t>Quảng Thạch</t>
  </si>
  <si>
    <t>Quảng Phong</t>
  </si>
  <si>
    <t>Đồng Hóa</t>
  </si>
  <si>
    <t>Lâm Thủy</t>
  </si>
  <si>
    <t>Lộc Thủy</t>
  </si>
  <si>
    <t>Phú Thủy</t>
  </si>
  <si>
    <t>Quảng Châu</t>
  </si>
  <si>
    <t>Quảng Lộc</t>
  </si>
  <si>
    <t>Quảng Phúc</t>
  </si>
  <si>
    <t>Quảng Thủy</t>
  </si>
  <si>
    <t>Quảng Thuận</t>
  </si>
  <si>
    <t>An Ninh</t>
  </si>
  <si>
    <t>Trường Sơn</t>
  </si>
  <si>
    <t>Yên Hóa</t>
  </si>
  <si>
    <t>Phú Định</t>
  </si>
  <si>
    <t>Bảo Ninh</t>
  </si>
  <si>
    <t>Gia Ninh</t>
  </si>
  <si>
    <t>Tân Ninh, Gia Ninh</t>
  </si>
  <si>
    <t>Đồng Sơn</t>
  </si>
  <si>
    <t>Võ Ninh</t>
  </si>
  <si>
    <t>Vạn Ninh</t>
  </si>
  <si>
    <t>Kim Thủy</t>
  </si>
  <si>
    <t>Sen Thủy</t>
  </si>
  <si>
    <t>Nam Lý</t>
  </si>
  <si>
    <t>Hóa Tiến</t>
  </si>
  <si>
    <t>Tân Trạch</t>
  </si>
  <si>
    <t>Đồng Phú</t>
  </si>
  <si>
    <t>Đức Hóa</t>
  </si>
  <si>
    <t>Liên Thủy</t>
  </si>
  <si>
    <t>Hiền Ninh</t>
  </si>
  <si>
    <t>Vạn Trạch</t>
  </si>
  <si>
    <t>Quảng Lưu</t>
  </si>
  <si>
    <t>Đức Ninh</t>
  </si>
  <si>
    <t>Ngư Thủy Bắc</t>
  </si>
  <si>
    <t>Phú Trạch</t>
  </si>
  <si>
    <t>Phúc Trạch</t>
  </si>
  <si>
    <t>Châu Hóa</t>
  </si>
  <si>
    <t>Thạch Hóa</t>
  </si>
  <si>
    <t>Tiến Hóa</t>
  </si>
  <si>
    <t>Nam Hóa</t>
  </si>
  <si>
    <t>Quảng Tiến</t>
  </si>
  <si>
    <t>Quảng Hợp</t>
  </si>
  <si>
    <t>Phù Hóa</t>
  </si>
  <si>
    <t>Quảng Thọ</t>
  </si>
  <si>
    <t>Quảng Văn</t>
  </si>
  <si>
    <t>Tân Thủy</t>
  </si>
  <si>
    <t>Ngư Thủy Nam</t>
  </si>
  <si>
    <t>Cam Thủy</t>
  </si>
  <si>
    <t>An Thủy</t>
  </si>
  <si>
    <t>Trường Thủy</t>
  </si>
  <si>
    <t>Thượng Trạch</t>
  </si>
  <si>
    <t>Đại Trạch</t>
  </si>
  <si>
    <t>Địa điêm</t>
  </si>
  <si>
    <t>Hương Hóa</t>
  </si>
  <si>
    <t>Cự Nẫm</t>
  </si>
  <si>
    <t>Hải Trạch</t>
  </si>
  <si>
    <t>Văn Thủy</t>
  </si>
  <si>
    <t>Văn Hóa</t>
  </si>
  <si>
    <t>Mỹ Thủy</t>
  </si>
  <si>
    <t>Thanh Thủy</t>
  </si>
  <si>
    <t>Mai Thủy</t>
  </si>
  <si>
    <t>Bắc Lý</t>
  </si>
  <si>
    <t>Quảng Hải</t>
  </si>
  <si>
    <t>Bắc Trạch</t>
  </si>
  <si>
    <t>Quán Hàu</t>
  </si>
  <si>
    <t>Quy Đạt</t>
  </si>
  <si>
    <t>Đức Trạch</t>
  </si>
  <si>
    <t>Hưng Thủy</t>
  </si>
  <si>
    <t>Quảng Liên</t>
  </si>
  <si>
    <t>Quảng Phú</t>
  </si>
  <si>
    <t>Sơn Thủy</t>
  </si>
  <si>
    <t>Dương Thủy</t>
  </si>
  <si>
    <t>Phong Thủy</t>
  </si>
  <si>
    <t>Hoàn Lão</t>
  </si>
  <si>
    <t>Trung Hóa</t>
  </si>
  <si>
    <t>Đồng Lê</t>
  </si>
  <si>
    <t>Hàm Ninh</t>
  </si>
  <si>
    <t>Nam Trạch</t>
  </si>
  <si>
    <t>Xuân Thủy</t>
  </si>
  <si>
    <t>Quảng Hòa</t>
  </si>
  <si>
    <t>Kiến Giang</t>
  </si>
  <si>
    <t>Quảng Tân</t>
  </si>
  <si>
    <t>Hải Thành</t>
  </si>
  <si>
    <t>Thanh Trạch</t>
  </si>
  <si>
    <t>Thuận Đức</t>
  </si>
  <si>
    <t>Kim Hóa</t>
  </si>
  <si>
    <t>Sơn Lộc</t>
  </si>
  <si>
    <t>Cảnh Hóa</t>
  </si>
  <si>
    <t>Bắc Nghĩa</t>
  </si>
  <si>
    <t>Nghĩa Ninh</t>
  </si>
  <si>
    <t>Lộc Ninh</t>
  </si>
  <si>
    <t>Sơn Trạch</t>
  </si>
  <si>
    <t>Hưng Trạch</t>
  </si>
  <si>
    <t>Lâm Trạch</t>
  </si>
  <si>
    <t>Đồng Trạch</t>
  </si>
  <si>
    <t>Tân Ninh</t>
  </si>
  <si>
    <t>Quảng Kim</t>
  </si>
  <si>
    <t>Hải Ninh</t>
  </si>
  <si>
    <t>Liên Trạch</t>
  </si>
  <si>
    <t>Thanh Hóa</t>
  </si>
  <si>
    <t>Xã</t>
  </si>
  <si>
    <t>GT</t>
  </si>
  <si>
    <t>Hải Đình</t>
  </si>
  <si>
    <t>KKT Cừa khẩu Cha Lo</t>
  </si>
  <si>
    <t>Toàn Tỉnh</t>
  </si>
  <si>
    <t>3208/QĐ-UBND ngày 26/9/2018</t>
  </si>
  <si>
    <t>3774/QĐ-UBND ngày 31/10/2018</t>
  </si>
  <si>
    <t>3881/QĐ-UBND ngày 31/10/2018</t>
  </si>
  <si>
    <t>3858/QĐ-UBND ngày 31/10/2018</t>
  </si>
  <si>
    <t>3890/QĐ-UBND ngày 31/10/2018</t>
  </si>
  <si>
    <t>Nhà phòng học 10 phòng trường THPT Minh Hóa</t>
  </si>
  <si>
    <t>Nhà lớp học, chức năng Trường Tiểu học Long Đại, xã Hiền Ninh</t>
  </si>
  <si>
    <t>Nhà lớp học 2 tầng 6 phòng trường Mầm non Cam Thủy (KV Mỹ Hòa)</t>
  </si>
  <si>
    <t>3810/QĐ-UBND ngày 31/10/2018</t>
  </si>
  <si>
    <t>Xây dựng cơ sở 2 Trường trung cấp Y tế Quảng Bình (gđ1)</t>
  </si>
  <si>
    <t>Cống cửa ông Lao, xã Bắc Trạch, huyện Bố Trạch</t>
  </si>
  <si>
    <t>A. Thiện bổ sung ngày 22.11</t>
  </si>
  <si>
    <t>3867/QĐ-UBND ngày 31/10/2018</t>
  </si>
  <si>
    <t>3873/QĐ-UBND ngày 31/10/2018</t>
  </si>
  <si>
    <t>xã thuộc diện</t>
  </si>
  <si>
    <t>bãi ngang</t>
  </si>
  <si>
    <t>xã 135</t>
  </si>
  <si>
    <t>3879a/QĐ-UBND ngày 31/10/2018</t>
  </si>
  <si>
    <t>3530/QĐ-UBND ngày 23/10/2018</t>
  </si>
  <si>
    <t>3355/QĐ-UBND ngày 10/10/2018</t>
  </si>
  <si>
    <t>Năm 2018 đã điều chỉnh bổ sung vốn cho dự án từ Cầu bê tông xã Nam Trạch</t>
  </si>
  <si>
    <t>Năm 2018, bố trí sự nghiệp 1,5 tỷ</t>
  </si>
  <si>
    <t>NTM</t>
  </si>
  <si>
    <t>Đã bố trí đủ, điều chỉnh tăng vốn và CBĐT</t>
  </si>
  <si>
    <t>TMĐT giảm từ 
8500 xuống 6700</t>
  </si>
  <si>
    <t>TMĐT giảm từ 5000 xuống 4500</t>
  </si>
  <si>
    <t>Xuân Hóa</t>
  </si>
  <si>
    <t>Quy Hóa</t>
  </si>
  <si>
    <t>Thuận Hóa</t>
  </si>
  <si>
    <t>Quảng Hưng</t>
  </si>
  <si>
    <t>3863/QĐ-UBND ngày 31/10/2018</t>
  </si>
  <si>
    <t xml:space="preserve">1828/QĐ-UBND ngày 10/8/2012; 3075/QĐ-UBND ngày 31/8/2017 </t>
  </si>
  <si>
    <t>1236/QĐ-BTNMT ngày 30/5/2016; 896/QĐ-UBND ngày 21/3/2017</t>
  </si>
  <si>
    <t>Điều chỉnh trung hạn 3,645 lên 7 tỷ</t>
  </si>
  <si>
    <t>Điều chỉnh trung hạn 50,2 tỷ xuống 49,2 tỷ</t>
  </si>
  <si>
    <t>3520/QĐ-UBND ngày 31/10/2016</t>
  </si>
  <si>
    <t>1756/QĐ-UBND ngày 30/5/2018</t>
  </si>
  <si>
    <t>Chênh lệch</t>
  </si>
  <si>
    <t>Bố trí hết nếu &lt; 2.000</t>
  </si>
  <si>
    <t>BS Vốn 500 &gt;&gt;
NST 2019</t>
  </si>
  <si>
    <t>KCM 2020 &gt;&gt; 2019
BSV + NST 2019</t>
  </si>
  <si>
    <t>x</t>
  </si>
  <si>
    <t>Điều chỉnh</t>
  </si>
  <si>
    <t>Bố sung</t>
  </si>
  <si>
    <t>NT Lệ Ninh</t>
  </si>
  <si>
    <t>NT Việt Trung</t>
  </si>
  <si>
    <r>
      <t>Nhà lớp học 6 phòng 2 tầng Trường tiểu học số 4 Sơn Trạch</t>
    </r>
    <r>
      <rPr>
        <sz val="10"/>
        <color theme="1"/>
        <rFont val="Times New Roman"/>
        <family val="1"/>
      </rPr>
      <t xml:space="preserve"> </t>
    </r>
  </si>
  <si>
    <r>
      <t>Nhà lớp học 2 tầng 8 phòng Trường tiểu học số 4 Hưng Trạch</t>
    </r>
    <r>
      <rPr>
        <sz val="10"/>
        <color theme="1"/>
        <rFont val="Times New Roman"/>
        <family val="1"/>
      </rPr>
      <t xml:space="preserve"> </t>
    </r>
  </si>
  <si>
    <r>
      <t>Nhà lớp học 6 phòng trường Mầm non Lâm Trạch</t>
    </r>
    <r>
      <rPr>
        <sz val="10"/>
        <color theme="1"/>
        <rFont val="Times New Roman"/>
        <family val="1"/>
      </rPr>
      <t xml:space="preserve"> </t>
    </r>
  </si>
  <si>
    <r>
      <t>Nhà lớp học chức năng, thư viện trường THCS xã Đồng Trạch</t>
    </r>
    <r>
      <rPr>
        <sz val="10"/>
        <color theme="1"/>
        <rFont val="Times New Roman"/>
        <family val="1"/>
      </rPr>
      <t xml:space="preserve"> </t>
    </r>
  </si>
  <si>
    <r>
      <t>Nhà chức năng 2 tầng 6 phòng trường THCS xã Trung Trạch</t>
    </r>
    <r>
      <rPr>
        <sz val="10"/>
        <color theme="1"/>
        <rFont val="Times New Roman"/>
        <family val="1"/>
      </rPr>
      <t xml:space="preserve"> </t>
    </r>
  </si>
  <si>
    <r>
      <t>Nhà lớp học chức năng trường tiểu học xã Đức Trạch – KV2</t>
    </r>
    <r>
      <rPr>
        <sz val="10"/>
        <color theme="1"/>
        <rFont val="Times New Roman"/>
        <family val="1"/>
      </rPr>
      <t xml:space="preserve"> </t>
    </r>
  </si>
  <si>
    <r>
      <t xml:space="preserve">221/QĐ-UBND ngày 28/1/2015; </t>
    </r>
    <r>
      <rPr>
        <sz val="10"/>
        <color rgb="FFFF0000"/>
        <rFont val="Times New Roman"/>
        <family val="1"/>
      </rPr>
      <t>2681/QĐ-UBND ngày 29/9/2015</t>
    </r>
  </si>
  <si>
    <t>Đang điều chỉnh thời gian thực hiện đến 2020</t>
  </si>
  <si>
    <t>CĐT đang xin điều chỉnh giảm TMĐT</t>
  </si>
  <si>
    <t>CĐT đang xin giãn tiến độ thực hiện</t>
  </si>
  <si>
    <t>3884a/QĐ-UBND ngày 31/10/2018</t>
  </si>
  <si>
    <t>Các Dự án chuyển tiếp (Lĩnh vực khác)</t>
  </si>
  <si>
    <t>Các Dự án khởi công mới (Lĩnh vực khác)</t>
  </si>
  <si>
    <t>Giải ngân thấp</t>
  </si>
  <si>
    <t>3983/QĐ-UBND ngày 2/11/2017</t>
  </si>
  <si>
    <t xml:space="preserve">3859/QĐ-UBND ngày 31/10/2018 </t>
  </si>
  <si>
    <t xml:space="preserve">3907a/QĐ-UBND ngày 31/10/2017 </t>
  </si>
  <si>
    <t xml:space="preserve">3836/QĐ-UBND ngày 31/10/2018 </t>
  </si>
  <si>
    <t>3889a/QĐ-UBND ngày 31/10/2018</t>
  </si>
  <si>
    <t xml:space="preserve">3890a/QĐ-UBND ngày 31/10/2018 </t>
  </si>
  <si>
    <t xml:space="preserve">3767/QĐ-UBND ngày 31/10/2018 </t>
  </si>
  <si>
    <t>3740/QĐ-UBND ngày 30/10/2018</t>
  </si>
  <si>
    <t>3715/QĐ-UBND ngày 30/10/2018</t>
  </si>
  <si>
    <t>3857/QĐ-UBND ngày 31/10/2018</t>
  </si>
  <si>
    <t>3765/QĐ-UBND ngày 31/10/2018</t>
  </si>
  <si>
    <t>3856/QĐ-UBND ngày 31/10/2018</t>
  </si>
  <si>
    <t>3891a/QĐ-UBND ngày 31/10/2018</t>
  </si>
  <si>
    <t>PHỤ LỤC 14: CÁC DỰ ÁN CHUYỂN TIẾP</t>
  </si>
  <si>
    <t>PHỤ LỤC 15: CÁC DỰ ÁN KHỞI CÔNG MỚI</t>
  </si>
  <si>
    <t>3766/QĐ-UBND ngày 31/10/2018</t>
  </si>
  <si>
    <t>3590/QĐ-UBND ngày 25/10/2018</t>
  </si>
  <si>
    <t>3854a/QĐ-UBND ngày 31/10/2018</t>
  </si>
  <si>
    <t xml:space="preserve">3856a/QĐ-UBND ngày 31/10/2018 </t>
  </si>
  <si>
    <t>3857a/QĐ-UBND ngày 31/10/2018</t>
  </si>
  <si>
    <t>3876a/QĐ-UBND ngày 31/10/2018</t>
  </si>
  <si>
    <t xml:space="preserve">3857a/QĐ-UBND ngày 31/10/2018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</si>
</sst>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8">
    <numFmt numFmtId="41" formatCode="_-* #,##0\ _₫_-;\-* #,##0\ _₫_-;_-* &quot;-&quot;\ _₫_-;_-@_-"/>
    <numFmt numFmtId="43" formatCode="_-* #,##0.00\ _₫_-;\-* #,##0.00\ _₫_-;_-* &quot;-&quot;??\ _₫_-;_-@_-"/>
    <numFmt numFmtId="164" formatCode="&quot;$&quot;#,##0_);\(&quot;$&quot;#,##0\)"/>
    <numFmt numFmtId="165" formatCode="&quot;$&quot;#,##0_);[Red]\(&quot;$&quot;#,##0\)"/>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0\ &quot;€&quot;;[Red]\-#,##0\ &quot;€&quot;"/>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 #,##0.00_-;\-* #,##0.00_-;_-* &quot;-&quot;??_-;_-@_-"/>
    <numFmt numFmtId="176" formatCode="_(* #,##0_);_(* \(#,##0\);_(* &quot;-&quot;??_);_(@_)"/>
    <numFmt numFmtId="177" formatCode="_(* #.##0.00_);_(* \(#.##0.00\);_(* &quot;-&quot;??_);_(@_)"/>
    <numFmt numFmtId="178" formatCode="#,##0\ _."/>
    <numFmt numFmtId="179" formatCode="_ * #,##0_ ;_ * \-#,##0_ ;_ * &quot;-&quot;??_ ;_ @_ "/>
    <numFmt numFmtId="180" formatCode="_-* #,##0.00\ _V_N_D_-;\-* #,##0.00\ _V_N_D_-;_-* &quot;-&quot;??\ _V_N_D_-;_-@_-"/>
    <numFmt numFmtId="181" formatCode="_-* #,##0_-;\-* #,##0_-;_-* &quot;-&quot;??_-;_-@_-"/>
    <numFmt numFmtId="182" formatCode="_(* #,##0.000_);_(* \(#,##0.000\);_(* &quot;-&quot;??_);_(@_)"/>
    <numFmt numFmtId="183" formatCode="yyyy"/>
    <numFmt numFmtId="184" formatCode="_(* #.0.;_(* \(#.0.;_(* &quot;-&quot;??_);_(@_ⴆ"/>
    <numFmt numFmtId="185" formatCode="_(* #,##0.0_);_(* \(#,##0.0\);_(* &quot;-&quot;?_);_(@_)"/>
    <numFmt numFmtId="186" formatCode="0.000"/>
    <numFmt numFmtId="187" formatCode="_-&quot;ñ&quot;* #,##0_-;\-&quot;ñ&quot;* #,##0_-;_-&quot;ñ&quot;* &quot;-&quot;_-;_-@_-"/>
    <numFmt numFmtId="188" formatCode="_-* #,##0\ &quot;F&quot;_-;\-* #,##0\ &quot;F&quot;_-;_-* &quot;-&quot;\ &quot;F&quot;_-;_-@_-"/>
    <numFmt numFmtId="189" formatCode="&quot;\&quot;#,##0;[Red]&quot;\&quot;&quot;\&quot;\-#,##0"/>
    <numFmt numFmtId="190" formatCode="#,##0\ &quot;DM&quot;;\-#,##0\ &quot;DM&quot;"/>
    <numFmt numFmtId="191" formatCode="0.000%"/>
    <numFmt numFmtId="192" formatCode="#.##00"/>
    <numFmt numFmtId="193" formatCode="_-* #,##0_-;\-* #,##0_-;_-* &quot;-&quot;_-;_-@_-"/>
    <numFmt numFmtId="194" formatCode="&quot;Rp&quot;#,##0_);[Red]\(&quot;Rp&quot;#,##0\)"/>
    <numFmt numFmtId="195" formatCode="_ * #,##0_)\ &quot;$&quot;_ ;_ * \(#,##0\)\ &quot;$&quot;_ ;_ * &quot;-&quot;_)\ &quot;$&quot;_ ;_ @_ "/>
    <numFmt numFmtId="196" formatCode="_-&quot;$&quot;* #,##0_-;\-&quot;$&quot;* #,##0_-;_-&quot;$&quot;* &quot;-&quot;_-;_-@_-"/>
    <numFmt numFmtId="197" formatCode="_-* #,##0\ _F_-;\-* #,##0\ _F_-;_-* &quot;-&quot;\ _F_-;_-@_-"/>
    <numFmt numFmtId="198" formatCode="_-* #,##0\ &quot;$&quot;_-;\-* #,##0\ &quot;$&quot;_-;_-* &quot;-&quot;\ &quot;$&quot;_-;_-@_-"/>
    <numFmt numFmtId="199" formatCode="_ * #,##0_)&quot;$&quot;_ ;_ * \(#,##0\)&quot;$&quot;_ ;_ * &quot;-&quot;_)&quot;$&quot;_ ;_ @_ "/>
    <numFmt numFmtId="200" formatCode="_-&quot;€&quot;* #,##0_-;\-&quot;€&quot;* #,##0_-;_-&quot;€&quot;* &quot;-&quot;_-;_-@_-"/>
    <numFmt numFmtId="201" formatCode="_-* #,##0.00\ _F_-;\-* #,##0.00\ _F_-;_-* &quot;-&quot;??\ _F_-;_-@_-"/>
    <numFmt numFmtId="202" formatCode="_ * #,##0.00_ ;_ * \-#,##0.00_ ;_ * &quot;-&quot;??_ ;_ @_ "/>
    <numFmt numFmtId="203" formatCode="_ * #,##0.00_)\ _$_ ;_ * \(#,##0.00\)\ _$_ ;_ * &quot;-&quot;??_)\ _$_ ;_ @_ "/>
    <numFmt numFmtId="204" formatCode="_ * #,##0.00_)_$_ ;_ * \(#,##0.00\)_$_ ;_ * &quot;-&quot;??_)_$_ ;_ @_ "/>
    <numFmt numFmtId="205" formatCode="_-* #,##0.00\ _ñ_-;\-* #,##0.00\ _ñ_-;_-* &quot;-&quot;??\ _ñ_-;_-@_-"/>
    <numFmt numFmtId="206" formatCode="_-* #,##0.00\ _ñ_-;_-* #,##0.00\ _ñ\-;_-* &quot;-&quot;??\ _ñ_-;_-@_-"/>
    <numFmt numFmtId="207" formatCode="_(&quot;$&quot;\ * #,##0_);_(&quot;$&quot;\ * \(#,##0\);_(&quot;$&quot;\ * &quot;-&quot;_);_(@_)"/>
    <numFmt numFmtId="208" formatCode="_-* #,##0.00000000_-;\-* #,##0.00000000_-;_-* &quot;-&quot;??_-;_-@_-"/>
    <numFmt numFmtId="209" formatCode="_(&quot;€&quot;\ * #,##0_);_(&quot;€&quot;\ * \(#,##0\);_(&quot;€&quot;\ * &quot;-&quot;_);_(@_)"/>
    <numFmt numFmtId="210" formatCode="_-* #,##0\ &quot;ñ&quot;_-;\-* #,##0\ &quot;ñ&quot;_-;_-* &quot;-&quot;\ &quot;ñ&quot;_-;_-@_-"/>
    <numFmt numFmtId="211" formatCode="_ * #,##0_ ;_ * \-#,##0_ ;_ * &quot;-&quot;_ ;_ @_ "/>
    <numFmt numFmtId="212" formatCode="_-* #,##0\ _V_N_D_-;\-* #,##0\ _V_N_D_-;_-* &quot;-&quot;\ _V_N_D_-;_-@_-"/>
    <numFmt numFmtId="213" formatCode="_ * #,##0_)\ _$_ ;_ * \(#,##0\)\ _$_ ;_ * &quot;-&quot;_)\ _$_ ;_ @_ "/>
    <numFmt numFmtId="214" formatCode="_ * #,##0_)_$_ ;_ * \(#,##0\)_$_ ;_ * &quot;-&quot;_)_$_ ;_ @_ "/>
    <numFmt numFmtId="215" formatCode="_-* #,##0\ _$_-;\-* #,##0\ _$_-;_-* &quot;-&quot;\ _$_-;_-@_-"/>
    <numFmt numFmtId="216" formatCode="_-* #,##0\ _ñ_-;\-* #,##0\ _ñ_-;_-* &quot;-&quot;\ _ñ_-;_-@_-"/>
    <numFmt numFmtId="217" formatCode="_-* #,##0\ _ñ_-;_-* #,##0\ _ñ\-;_-* &quot;-&quot;\ _ñ_-;_-@_-"/>
    <numFmt numFmtId="218" formatCode="_ &quot;\&quot;* #,##0_ ;_ &quot;\&quot;* \-#,##0_ ;_ &quot;\&quot;* &quot;-&quot;_ ;_ @_ "/>
    <numFmt numFmtId="219" formatCode="&quot;\&quot;#,##0.00;[Red]&quot;\&quot;\-#,##0.00"/>
    <numFmt numFmtId="220" formatCode="&quot;\&quot;#,##0;[Red]&quot;\&quot;\-#,##0"/>
    <numFmt numFmtId="221" formatCode="_ * #,##0_)\ &quot;F&quot;_ ;_ * \(#,##0\)\ &quot;F&quot;_ ;_ * &quot;-&quot;_)\ &quot;F&quot;_ ;_ @_ "/>
    <numFmt numFmtId="222" formatCode="&quot;£&quot;#,##0.00;\-&quot;£&quot;#,##0.00"/>
    <numFmt numFmtId="223" formatCode="_-&quot;F&quot;* #,##0_-;\-&quot;F&quot;* #,##0_-;_-&quot;F&quot;* &quot;-&quot;_-;_-@_-"/>
    <numFmt numFmtId="224" formatCode="_ * #,##0.00_)&quot;$&quot;_ ;_ * \(#,##0.00\)&quot;$&quot;_ ;_ * &quot;-&quot;??_)&quot;$&quot;_ ;_ @_ "/>
    <numFmt numFmtId="225" formatCode="_ * #,##0.0_)_$_ ;_ * \(#,##0.0\)_$_ ;_ * &quot;-&quot;??_)_$_ ;_ @_ "/>
    <numFmt numFmtId="226" formatCode=";;"/>
    <numFmt numFmtId="227" formatCode="_ * #,##0.00_)&quot;€&quot;_ ;_ * \(#,##0.00\)&quot;€&quot;_ ;_ * &quot;-&quot;??_)&quot;€&quot;_ ;_ @_ "/>
    <numFmt numFmtId="228" formatCode="#,##0.0_);\(#,##0.0\)"/>
    <numFmt numFmtId="229" formatCode="_ &quot;\&quot;* #,##0.00_ ;_ &quot;\&quot;* &quot;\&quot;&quot;\&quot;&quot;\&quot;&quot;\&quot;&quot;\&quot;&quot;\&quot;&quot;\&quot;&quot;\&quot;&quot;\&quot;&quot;\&quot;&quot;\&quot;&quot;\&quot;\-#,##0.00_ ;_ &quot;\&quot;* &quot;-&quot;??_ ;_ @_ "/>
    <numFmt numFmtId="230" formatCode="0.0%"/>
    <numFmt numFmtId="231" formatCode="_ * #,##0.00_ ;_ * &quot;\&quot;&quot;\&quot;&quot;\&quot;&quot;\&quot;&quot;\&quot;&quot;\&quot;&quot;\&quot;&quot;\&quot;&quot;\&quot;&quot;\&quot;&quot;\&quot;&quot;\&quot;\-#,##0.00_ ;_ * &quot;-&quot;??_ ;_ @_ "/>
    <numFmt numFmtId="232" formatCode="&quot;$&quot;#,##0.00"/>
    <numFmt numFmtId="233" formatCode="&quot;\&quot;#,##0;&quot;\&quot;&quot;\&quot;&quot;\&quot;&quot;\&quot;&quot;\&quot;&quot;\&quot;&quot;\&quot;&quot;\&quot;&quot;\&quot;&quot;\&quot;&quot;\&quot;&quot;\&quot;&quot;\&quot;&quot;\&quot;\-#,##0"/>
    <numFmt numFmtId="234" formatCode="_ * #,##0.00_)&quot;£&quot;_ ;_ * \(#,##0.00\)&quot;£&quot;_ ;_ * &quot;-&quot;??_)&quot;£&quot;_ ;_ @_ "/>
    <numFmt numFmtId="235" formatCode="&quot;\&quot;#,##0;[Red]&quot;\&quot;&quot;\&quot;&quot;\&quot;&quot;\&quot;&quot;\&quot;&quot;\&quot;&quot;\&quot;&quot;\&quot;&quot;\&quot;&quot;\&quot;&quot;\&quot;&quot;\&quot;&quot;\&quot;&quot;\&quot;\-#,##0"/>
    <numFmt numFmtId="236" formatCode="_-&quot;$&quot;* #,##0.00_-;\-&quot;$&quot;* #,##0.00_-;_-&quot;$&quot;* &quot;-&quot;??_-;_-@_-"/>
    <numFmt numFmtId="237" formatCode="_ * #,##0_ ;_ * &quot;\&quot;&quot;\&quot;&quot;\&quot;&quot;\&quot;&quot;\&quot;&quot;\&quot;&quot;\&quot;&quot;\&quot;&quot;\&quot;&quot;\&quot;&quot;\&quot;&quot;\&quot;\-#,##0_ ;_ * &quot;-&quot;_ ;_ @_ "/>
    <numFmt numFmtId="238" formatCode="0.0%;\(0.0%\)"/>
    <numFmt numFmtId="239" formatCode="&quot;\&quot;#,##0.00;&quot;\&quot;&quot;\&quot;&quot;\&quot;&quot;\&quot;&quot;\&quot;&quot;\&quot;&quot;\&quot;&quot;\&quot;&quot;\&quot;&quot;\&quot;&quot;\&quot;&quot;\&quot;&quot;\&quot;&quot;\&quot;\-#,##0.00"/>
    <numFmt numFmtId="240" formatCode="_-* #,##0.00\ &quot;F&quot;_-;\-* #,##0.00\ &quot;F&quot;_-;_-* &quot;-&quot;??\ &quot;F&quot;_-;_-@_-"/>
    <numFmt numFmtId="241" formatCode="0.000_)"/>
    <numFmt numFmtId="242" formatCode="#,##0_)_%;\(#,##0\)_%;"/>
    <numFmt numFmtId="243" formatCode="_(* #,##0.0_);_(* \(#,##0.0\);_(* &quot;-&quot;??_);_(@_)"/>
    <numFmt numFmtId="244" formatCode="_._.* #,##0.0_)_%;_._.* \(#,##0.0\)_%"/>
    <numFmt numFmtId="245" formatCode="#,##0.0_)_%;\(#,##0.0\)_%;\ \ .0_)_%"/>
    <numFmt numFmtId="246" formatCode="_._.* #,##0.00_)_%;_._.* \(#,##0.00\)_%"/>
    <numFmt numFmtId="247" formatCode="#,##0.00_)_%;\(#,##0.00\)_%;\ \ .00_)_%"/>
    <numFmt numFmtId="248" formatCode="_._.* #,##0.000_)_%;_._.* \(#,##0.000\)_%"/>
    <numFmt numFmtId="249" formatCode="#,##0.000_)_%;\(#,##0.000\)_%;\ \ .000_)_%"/>
    <numFmt numFmtId="250" formatCode="&quot;$&quot;#,##0;[Red]\-&quot;$&quot;#,##0"/>
    <numFmt numFmtId="251" formatCode="_(* #,##0.00_);_(* \(#,##0.00\);_(* &quot;-&quot;&quot;?&quot;&quot;?&quot;_);_(@_)"/>
    <numFmt numFmtId="252" formatCode="_-* #,##0\ &quot;þ&quot;_-;\-* #,##0\ &quot;þ&quot;_-;_-* &quot;-&quot;\ &quot;þ&quot;_-;_-@_-"/>
    <numFmt numFmtId="253" formatCode="_-* #,##0.00\ _þ_-;\-* #,##0.00\ _þ_-;_-* &quot;-&quot;??\ _þ_-;_-@_-"/>
    <numFmt numFmtId="254" formatCode="_-* #,##0\ _₫_-;\-* #,##0\ _₫_-;_-* &quot;-&quot;??\ _₫_-;_-@_-"/>
    <numFmt numFmtId="255" formatCode="\t#\ ??/??"/>
    <numFmt numFmtId="256" formatCode="0.0000"/>
    <numFmt numFmtId="257" formatCode="_-* #,##0.00\ _$_-;\-* #,##0.00\ _$_-;_-* &quot;-&quot;??\ _$_-;_-@_-"/>
    <numFmt numFmtId="258" formatCode="&quot;$&quot;#,##0;\-&quot;$&quot;#,##0"/>
    <numFmt numFmtId="259" formatCode="&quot;True&quot;;&quot;True&quot;;&quot;False&quot;"/>
    <numFmt numFmtId="260" formatCode="#,##0.00;[Red]#,##0.00"/>
    <numFmt numFmtId="261" formatCode="#,##0;\(#,##0\)"/>
    <numFmt numFmtId="262" formatCode="_._.* \(#,##0\)_%;_._.* #,##0_)_%;_._.* 0_)_%;_._.@_)_%"/>
    <numFmt numFmtId="263" formatCode="_._.&quot;€&quot;* \(#,##0\)_%;_._.&quot;€&quot;* #,##0_)_%;_._.&quot;€&quot;* 0_)_%;_._.@_)_%"/>
    <numFmt numFmtId="264" formatCode="* \(#,##0\);* #,##0_);&quot;-&quot;??_);@"/>
    <numFmt numFmtId="265" formatCode="_ &quot;R&quot;\ * #,##0_ ;_ &quot;R&quot;\ * \-#,##0_ ;_ &quot;R&quot;\ * &quot;-&quot;_ ;_ @_ "/>
    <numFmt numFmtId="266" formatCode="_ * #,##0.00_ ;_ * &quot;\&quot;&quot;\&quot;&quot;\&quot;&quot;\&quot;&quot;\&quot;&quot;\&quot;\-#,##0.00_ ;_ * &quot;-&quot;??_ ;_ @_ "/>
    <numFmt numFmtId="267" formatCode="&quot;€&quot;* #,##0_)_%;&quot;€&quot;* \(#,##0\)_%;&quot;€&quot;* &quot;-&quot;??_)_%;@_)_%"/>
    <numFmt numFmtId="268" formatCode="&quot;$&quot;* #,##0_)_%;&quot;$&quot;* \(#,##0\)_%;&quot;$&quot;* &quot;-&quot;??_)_%;@_)_%"/>
    <numFmt numFmtId="269" formatCode="&quot;\&quot;#,##0.00;&quot;\&quot;&quot;\&quot;&quot;\&quot;&quot;\&quot;&quot;\&quot;&quot;\&quot;&quot;\&quot;&quot;\&quot;\-#,##0.00"/>
    <numFmt numFmtId="270" formatCode="_._.&quot;€&quot;* #,##0.0_)_%;_._.&quot;€&quot;* \(#,##0.0\)_%"/>
    <numFmt numFmtId="271" formatCode="&quot;€&quot;* #,##0.0_)_%;&quot;€&quot;* \(#,##0.0\)_%;&quot;€&quot;* \ .0_)_%"/>
    <numFmt numFmtId="272" formatCode="_._.&quot;$&quot;* #,##0.0_)_%;_._.&quot;$&quot;* \(#,##0.0\)_%"/>
    <numFmt numFmtId="273" formatCode="_._.&quot;€&quot;* #,##0.00_)_%;_._.&quot;€&quot;* \(#,##0.00\)_%"/>
    <numFmt numFmtId="274" formatCode="&quot;€&quot;* #,##0.00_)_%;&quot;€&quot;* \(#,##0.00\)_%;&quot;€&quot;* \ .00_)_%"/>
    <numFmt numFmtId="275" formatCode="_._.&quot;$&quot;* #,##0.00_)_%;_._.&quot;$&quot;* \(#,##0.00\)_%"/>
    <numFmt numFmtId="276" formatCode="_._.&quot;€&quot;* #,##0.000_)_%;_._.&quot;€&quot;* \(#,##0.000\)_%"/>
    <numFmt numFmtId="277" formatCode="&quot;€&quot;* #,##0.000_)_%;&quot;€&quot;* \(#,##0.000\)_%;&quot;€&quot;* \ .000_)_%"/>
    <numFmt numFmtId="278" formatCode="_._.&quot;$&quot;* #,##0.000_)_%;_._.&quot;$&quot;* \(#,##0.000\)_%"/>
    <numFmt numFmtId="279" formatCode="_ * #,##0_ ;_ * &quot;\&quot;&quot;\&quot;&quot;\&quot;&quot;\&quot;&quot;\&quot;&quot;\&quot;\-#,##0_ ;_ * &quot;-&quot;_ ;_ @_ "/>
    <numFmt numFmtId="280" formatCode="\$#,##0\ ;\(\$#,##0\)"/>
    <numFmt numFmtId="281" formatCode="&quot;$&quot;#,##0\ ;\(&quot;$&quot;#,##0\)"/>
    <numFmt numFmtId="282" formatCode="\t0.00%"/>
    <numFmt numFmtId="283" formatCode="* #,##0_);* \(#,##0\);&quot;-&quot;??_);@"/>
    <numFmt numFmtId="284" formatCode="\U\S\$#,##0.00;\(\U\S\$#,##0.00\)"/>
    <numFmt numFmtId="285" formatCode="_(\§\g\ #,##0_);_(\§\g\ \(#,##0\);_(\§\g\ &quot;-&quot;??_);_(@_)"/>
    <numFmt numFmtId="286" formatCode="_(\§\g\ #,##0_);_(\§\g\ \(#,##0\);_(\§\g\ &quot;-&quot;_);_(@_)"/>
    <numFmt numFmtId="287" formatCode="\§\g#,##0_);\(\§\g#,##0\)"/>
    <numFmt numFmtId="288" formatCode="_-&quot;VND&quot;* #,##0_-;\-&quot;VND&quot;* #,##0_-;_-&quot;VND&quot;* &quot;-&quot;_-;_-@_-"/>
    <numFmt numFmtId="289" formatCode="_(&quot;Rp&quot;* #,##0.00_);_(&quot;Rp&quot;* \(#,##0.00\);_(&quot;Rp&quot;* &quot;-&quot;??_);_(@_)"/>
    <numFmt numFmtId="290" formatCode="#,##0.00\ &quot;FB&quot;;[Red]\-#,##0.00\ &quot;FB&quot;"/>
    <numFmt numFmtId="291" formatCode="#,##0\ &quot;$&quot;;\-#,##0\ &quot;$&quot;"/>
    <numFmt numFmtId="292" formatCode="_-* #,##0\ _F_B_-;\-* #,##0\ _F_B_-;_-* &quot;-&quot;\ _F_B_-;_-@_-"/>
    <numFmt numFmtId="293" formatCode="_-[$€]* #,##0.00_-;\-[$€]* #,##0.00_-;_-[$€]* &quot;-&quot;??_-;_-@_-"/>
    <numFmt numFmtId="294" formatCode="_ * #,##0.00_)_d_ ;_ * \(#,##0.00\)_d_ ;_ * &quot;-&quot;??_)_d_ ;_ @_ "/>
    <numFmt numFmtId="295" formatCode="#,##0_);\-#,##0_)"/>
    <numFmt numFmtId="296" formatCode="#,###;\-#,###;&quot;&quot;;_(@_)"/>
    <numFmt numFmtId="297" formatCode="&quot;€&quot;#,##0;\-&quot;€&quot;#,##0"/>
    <numFmt numFmtId="298" formatCode="#,##0\ &quot;$&quot;_);\(#,##0\ &quot;$&quot;\)"/>
    <numFmt numFmtId="299" formatCode="_-&quot;£&quot;* #,##0_-;\-&quot;£&quot;* #,##0_-;_-&quot;£&quot;* &quot;-&quot;_-;_-@_-"/>
    <numFmt numFmtId="300" formatCode="#,###"/>
    <numFmt numFmtId="301" formatCode="&quot;Fr.&quot;\ #,##0.00;[Red]&quot;Fr.&quot;\ \-#,##0.00"/>
    <numFmt numFmtId="302" formatCode="_ &quot;Fr.&quot;\ * #,##0_ ;_ &quot;Fr.&quot;\ * \-#,##0_ ;_ &quot;Fr.&quot;\ * &quot;-&quot;_ ;_ @_ "/>
    <numFmt numFmtId="303" formatCode="&quot;\&quot;#,##0;[Red]\-&quot;\&quot;#,##0"/>
    <numFmt numFmtId="304" formatCode="&quot;\&quot;#,##0.00;\-&quot;\&quot;#,##0.00"/>
    <numFmt numFmtId="305" formatCode="&quot;VND&quot;#,##0_);[Red]\(&quot;VND&quot;#,##0\)"/>
    <numFmt numFmtId="306" formatCode="#,##0.00_);\-#,##0.00_)"/>
    <numFmt numFmtId="307" formatCode="0_)%;\(0\)%"/>
    <numFmt numFmtId="308" formatCode="_._._(* 0_)%;_._.* \(0\)%"/>
    <numFmt numFmtId="309" formatCode="_(0_)%;\(0\)%"/>
    <numFmt numFmtId="310" formatCode="0%_);\(0%\)"/>
    <numFmt numFmtId="311" formatCode="#,##0.000_);\(#,##0.000\)"/>
    <numFmt numFmtId="312" formatCode="_ &quot;\&quot;* #,##0_ ;_ &quot;\&quot;* &quot;\&quot;&quot;\&quot;&quot;\&quot;&quot;\&quot;&quot;\&quot;&quot;\&quot;&quot;\&quot;&quot;\&quot;&quot;\&quot;&quot;\&quot;&quot;\&quot;&quot;\&quot;&quot;\&quot;&quot;\&quot;\-#,##0_ ;_ &quot;\&quot;* &quot;-&quot;_ ;_ @_ "/>
    <numFmt numFmtId="313" formatCode="_(0.0_)%;\(0.0\)%"/>
    <numFmt numFmtId="314" formatCode="_._._(* 0.0_)%;_._.* \(0.0\)%"/>
    <numFmt numFmtId="315" formatCode="_(0.00_)%;\(0.00\)%"/>
    <numFmt numFmtId="316" formatCode="_._._(* 0.00_)%;_._.* \(0.00\)%"/>
    <numFmt numFmtId="317" formatCode="_(0.000_)%;\(0.000\)%"/>
    <numFmt numFmtId="318" formatCode="_._._(* 0.000_)%;_._.* \(0.000\)%"/>
    <numFmt numFmtId="319" formatCode="#"/>
    <numFmt numFmtId="320" formatCode="&quot;¡Ì&quot;#,##0;[Red]\-&quot;¡Ì&quot;#,##0"/>
    <numFmt numFmtId="321" formatCode="#,##0.00\ &quot;F&quot;;[Red]\-#,##0.00\ &quot;F&quot;"/>
    <numFmt numFmtId="322" formatCode="&quot;£&quot;#,##0;[Red]\-&quot;£&quot;#,##0"/>
    <numFmt numFmtId="323" formatCode="#,##0.00\ \ "/>
    <numFmt numFmtId="324" formatCode="0.00000000000E+00;\?"/>
    <numFmt numFmtId="325" formatCode="_-* ###,0&quot;.&quot;00\ _F_B_-;\-* ###,0&quot;.&quot;00\ _F_B_-;_-* &quot;-&quot;??\ _F_B_-;_-@_-"/>
    <numFmt numFmtId="326" formatCode="0.00000"/>
    <numFmt numFmtId="327" formatCode="#,##0.00\ \ \ \ "/>
    <numFmt numFmtId="328" formatCode="#,##0\ &quot;F&quot;;[Red]\-#,##0\ &quot;F&quot;"/>
    <numFmt numFmtId="329" formatCode="_ * #.##._ ;_ * \-#.##._ ;_ * &quot;-&quot;??_ ;_ @_ⴆ"/>
    <numFmt numFmtId="330" formatCode="&quot;\&quot;#,##0.00;[Red]&quot;\&quot;&quot;\&quot;&quot;\&quot;&quot;\&quot;&quot;\&quot;&quot;\&quot;&quot;\&quot;&quot;\&quot;&quot;\&quot;&quot;\&quot;&quot;\&quot;&quot;\&quot;&quot;\&quot;&quot;\&quot;\-#,##0.00"/>
    <numFmt numFmtId="331" formatCode="_ &quot;\&quot;* #,##0_ ;_ &quot;\&quot;* &quot;\&quot;&quot;\&quot;&quot;\&quot;&quot;\&quot;&quot;\&quot;&quot;\&quot;&quot;\&quot;&quot;\&quot;&quot;\&quot;&quot;\&quot;&quot;\&quot;&quot;\&quot;&quot;\&quot;\-#,##0_ ;_ &quot;\&quot;* &quot;-&quot;_ ;_ @_ "/>
    <numFmt numFmtId="332" formatCode="_-* #,##0\ _F_-;\-* #,##0\ _F_-;_-* &quot;-&quot;??\ _F_-;_-@_-"/>
    <numFmt numFmtId="333" formatCode="_-* ###,0&quot;.&quot;00_-;\-* ###,0&quot;.&quot;00_-;_-* &quot;-&quot;??_-;_-@_-"/>
    <numFmt numFmtId="334" formatCode="_-&quot;$&quot;* ###,0&quot;.&quot;00_-;\-&quot;$&quot;* ###,0&quot;.&quot;00_-;_-&quot;$&quot;* &quot;-&quot;??_-;_-@_-"/>
    <numFmt numFmtId="335" formatCode="#,##0.00\ &quot;F&quot;;\-#,##0.00\ &quot;F&quot;"/>
    <numFmt numFmtId="336" formatCode="&quot;€&quot;#,##0;[Red]\-&quot;€&quot;#,##0"/>
    <numFmt numFmtId="337" formatCode="_-* #,##0\ &quot;DM&quot;_-;\-* #,##0\ &quot;DM&quot;_-;_-* &quot;-&quot;\ &quot;DM&quot;_-;_-@_-"/>
    <numFmt numFmtId="338" formatCode="_-* #,##0.00\ &quot;DM&quot;_-;\-* #,##0.00\ &quot;DM&quot;_-;_-* &quot;-&quot;??\ &quot;DM&quot;_-;_-@_-"/>
    <numFmt numFmtId="339" formatCode="_-&quot;€&quot;* #,##0.00_-;\-&quot;€&quot;* #,##0.00_-;_-&quot;€&quot;* &quot;-&quot;??_-;_-@_-"/>
  </numFmts>
  <fonts count="277">
    <font>
      <sz val="12"/>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Times New Roman"/>
      <family val="2"/>
    </font>
    <font>
      <sz val="12"/>
      <name val="VNtimes new roman"/>
      <family val="2"/>
    </font>
    <font>
      <sz val="10"/>
      <name val="Times New Roman"/>
      <family val="1"/>
      <charset val="163"/>
    </font>
    <font>
      <sz val="11"/>
      <color indexed="8"/>
      <name val="Calibri"/>
      <family val="2"/>
    </font>
    <font>
      <sz val="10"/>
      <name val="Arial"/>
      <family val="2"/>
    </font>
    <font>
      <sz val="10"/>
      <name val="Times New Roman"/>
      <family val="1"/>
    </font>
    <font>
      <sz val="12"/>
      <name val="Times New Roman"/>
      <family val="1"/>
    </font>
    <font>
      <sz val="12"/>
      <color indexed="8"/>
      <name val="Times New Roman"/>
      <family val="2"/>
    </font>
    <font>
      <sz val="11"/>
      <color indexed="8"/>
      <name val="Arial"/>
      <family val="2"/>
    </font>
    <font>
      <b/>
      <sz val="10"/>
      <name val="Arial"/>
      <family val="2"/>
    </font>
    <font>
      <sz val="14"/>
      <name val=".VnTime"/>
      <family val="2"/>
    </font>
    <font>
      <sz val="12"/>
      <name val=".vnTime"/>
      <family val="2"/>
    </font>
    <font>
      <b/>
      <sz val="12"/>
      <name val="Times New Roman"/>
      <family val="1"/>
    </font>
    <font>
      <sz val="12"/>
      <name val="VNtimes new roman"/>
      <family val="2"/>
    </font>
    <font>
      <sz val="13"/>
      <name val="Times New Roman"/>
      <family val="1"/>
    </font>
    <font>
      <sz val="12"/>
      <name val="Times New Roman"/>
      <family val="1"/>
      <charset val="163"/>
    </font>
    <font>
      <sz val="11"/>
      <name val="Times New Roman"/>
      <family val="1"/>
    </font>
    <font>
      <b/>
      <i/>
      <sz val="12"/>
      <name val="Times New Roman"/>
      <family val="1"/>
    </font>
    <font>
      <sz val="12"/>
      <name val="Times New Roman"/>
      <family val="2"/>
    </font>
    <font>
      <b/>
      <sz val="12"/>
      <name val="Times New Roman"/>
      <family val="1"/>
      <charset val="163"/>
    </font>
    <font>
      <b/>
      <sz val="12"/>
      <color theme="1"/>
      <name val="Times New Roman"/>
      <family val="1"/>
    </font>
    <font>
      <sz val="12"/>
      <color theme="1"/>
      <name val="Times New Roman"/>
      <family val="1"/>
    </font>
    <font>
      <sz val="11"/>
      <color indexed="8"/>
      <name val="Times New Roman"/>
      <family val="2"/>
    </font>
    <font>
      <sz val="10"/>
      <name val="MS Sans Serif"/>
      <family val="2"/>
    </font>
    <font>
      <sz val="11"/>
      <color indexed="8"/>
      <name val="Helvetica Neue"/>
    </font>
    <font>
      <i/>
      <sz val="12"/>
      <name val="Times New Roman"/>
      <family val="1"/>
    </font>
    <font>
      <sz val="12"/>
      <color indexed="8"/>
      <name val="Times New Roman"/>
      <family val="1"/>
    </font>
    <font>
      <sz val="12"/>
      <color rgb="FFFF0000"/>
      <name val="Times New Roman"/>
      <family val="1"/>
    </font>
    <font>
      <b/>
      <sz val="12"/>
      <name val="Arial"/>
      <family val="2"/>
    </font>
    <font>
      <b/>
      <sz val="12"/>
      <color rgb="FFFF0000"/>
      <name val="Times New Roman"/>
      <family val="1"/>
    </font>
    <font>
      <sz val="12"/>
      <name val="VNI-Times"/>
    </font>
    <font>
      <sz val="10"/>
      <color indexed="8"/>
      <name val="MS Sans Serif"/>
      <family val="2"/>
    </font>
    <font>
      <sz val="12"/>
      <name val="돋움체"/>
      <family val="3"/>
      <charset val="129"/>
    </font>
    <font>
      <sz val="9"/>
      <name val="Arial"/>
      <family val="2"/>
    </font>
    <font>
      <sz val="10"/>
      <name val=".VnTime"/>
      <family val="2"/>
    </font>
    <font>
      <sz val="10"/>
      <name val="VNI-Times"/>
    </font>
    <font>
      <sz val="10"/>
      <name val="?? ??"/>
      <family val="1"/>
      <charset val="136"/>
    </font>
    <font>
      <sz val="11"/>
      <name val="??"/>
      <family val="3"/>
    </font>
    <font>
      <sz val="12"/>
      <name val=".VnArial"/>
      <family val="2"/>
    </font>
    <font>
      <sz val="10"/>
      <name val="??"/>
      <family val="3"/>
      <charset val="129"/>
    </font>
    <font>
      <sz val="12"/>
      <name val="????"/>
      <family val="1"/>
      <charset val="136"/>
    </font>
    <font>
      <sz val="12"/>
      <name val="Courier"/>
      <family val="3"/>
    </font>
    <font>
      <sz val="10"/>
      <name val="AngsanaUPC"/>
      <family val="1"/>
    </font>
    <font>
      <sz val="10"/>
      <name val="Arial"/>
      <family val="2"/>
      <charset val="1"/>
    </font>
    <font>
      <sz val="12"/>
      <name val="|??¢¥¢¬¨Ï"/>
      <family val="1"/>
      <charset val="129"/>
    </font>
    <font>
      <sz val="10"/>
      <name val="Helv"/>
      <family val="2"/>
    </font>
    <font>
      <sz val="10"/>
      <color indexed="8"/>
      <name val="Arial"/>
      <family val="2"/>
    </font>
    <font>
      <sz val="10"/>
      <color indexed="8"/>
      <name val="Arial"/>
      <family val="2"/>
      <charset val="163"/>
    </font>
    <font>
      <sz val="12"/>
      <name val="VNI-Helve"/>
    </font>
    <font>
      <sz val="12"/>
      <name val="???"/>
    </font>
    <font>
      <sz val="11"/>
      <name val="‚l‚r ‚oƒSƒVƒbƒN"/>
      <family val="3"/>
      <charset val="128"/>
    </font>
    <font>
      <sz val="12"/>
      <name val="Arial"/>
      <family val="2"/>
    </font>
    <font>
      <sz val="11"/>
      <name val="–¾’©"/>
      <family val="1"/>
      <charset val="128"/>
    </font>
    <font>
      <sz val="14"/>
      <name val="VnTime"/>
    </font>
    <font>
      <sz val="10"/>
      <name val=".VnArial"/>
      <family val="2"/>
    </font>
    <font>
      <sz val="10"/>
      <name val=".VnArial NarrowH"/>
      <family val="2"/>
    </font>
    <font>
      <b/>
      <u/>
      <sz val="14"/>
      <color indexed="8"/>
      <name val=".VnBook-AntiquaH"/>
      <family val="2"/>
    </font>
    <font>
      <sz val="11"/>
      <name val=".VnTime"/>
      <family val="2"/>
    </font>
    <font>
      <b/>
      <u/>
      <sz val="10"/>
      <name val="VNI-Times"/>
    </font>
    <font>
      <b/>
      <sz val="10"/>
      <name val=".VnArial"/>
      <family val="2"/>
    </font>
    <font>
      <sz val="10"/>
      <name val="VnTimes"/>
    </font>
    <font>
      <sz val="12"/>
      <color indexed="10"/>
      <name val=".VnArial Narrow"/>
      <family val="2"/>
    </font>
    <font>
      <sz val="12"/>
      <color indexed="8"/>
      <name val="¹ÙÅÁÃ¼"/>
      <family val="1"/>
      <charset val="129"/>
    </font>
    <font>
      <i/>
      <sz val="12"/>
      <color indexed="8"/>
      <name val=".VnBook-AntiquaH"/>
      <family val="2"/>
    </font>
    <font>
      <sz val="11"/>
      <color indexed="8"/>
      <name val="Calibri"/>
      <family val="2"/>
      <charset val="163"/>
    </font>
    <font>
      <sz val="10"/>
      <name val="Arial"/>
      <family val="2"/>
      <charset val="163"/>
    </font>
    <font>
      <b/>
      <sz val="12"/>
      <color indexed="8"/>
      <name val=".VnBook-Antiqua"/>
      <family val="2"/>
    </font>
    <font>
      <i/>
      <sz val="12"/>
      <color indexed="8"/>
      <name val=".VnBook-Antiqua"/>
      <family val="2"/>
    </font>
    <font>
      <sz val="14"/>
      <name val=".VnTimeH"/>
      <family val="2"/>
    </font>
    <font>
      <sz val="11"/>
      <color indexed="9"/>
      <name val="Calibri"/>
      <family val="2"/>
      <charset val="163"/>
    </font>
    <font>
      <sz val="14"/>
      <name val="VNI-Times"/>
    </font>
    <font>
      <sz val="12"/>
      <name val="¹UAAA¼"/>
      <family val="3"/>
      <charset val="129"/>
    </font>
    <font>
      <sz val="11"/>
      <name val="VNI-Times"/>
    </font>
    <font>
      <sz val="8"/>
      <name val="Times New Roman"/>
      <family val="1"/>
      <charset val="163"/>
    </font>
    <font>
      <sz val="8"/>
      <name val="Times New Roman"/>
      <family val="1"/>
    </font>
    <font>
      <b/>
      <sz val="12"/>
      <color indexed="63"/>
      <name val="VNI-Times"/>
    </font>
    <font>
      <sz val="12"/>
      <name val="¹ÙÅÁÃ¼"/>
      <charset val="129"/>
    </font>
    <font>
      <sz val="12"/>
      <name val="¹UAAA¼"/>
      <family val="3"/>
      <charset val="128"/>
    </font>
    <font>
      <sz val="11"/>
      <color indexed="20"/>
      <name val="Calibri"/>
      <family val="2"/>
      <charset val="163"/>
    </font>
    <font>
      <sz val="12"/>
      <name val="Tms Rmn"/>
    </font>
    <font>
      <sz val="13"/>
      <name val=".VnTime"/>
      <family val="2"/>
    </font>
    <font>
      <sz val="11"/>
      <name val="µ¸¿ò"/>
      <charset val="129"/>
    </font>
    <font>
      <sz val="10"/>
      <name val="±¼¸²A¼"/>
      <family val="3"/>
      <charset val="129"/>
    </font>
    <font>
      <sz val="12"/>
      <name val="¹ÙÅÁÃ¼"/>
      <family val="1"/>
      <charset val="129"/>
    </font>
    <font>
      <sz val="10"/>
      <name val="Helv"/>
    </font>
    <font>
      <b/>
      <sz val="11"/>
      <color indexed="52"/>
      <name val="Calibri"/>
      <family val="2"/>
      <charset val="163"/>
    </font>
    <font>
      <b/>
      <sz val="10"/>
      <name val="Helv"/>
    </font>
    <font>
      <b/>
      <sz val="10"/>
      <name val="Helv"/>
      <family val="2"/>
    </font>
    <font>
      <b/>
      <sz val="11"/>
      <name val="Arial"/>
      <family val="2"/>
    </font>
    <font>
      <b/>
      <sz val="11"/>
      <color indexed="9"/>
      <name val="Calibri"/>
      <family val="2"/>
      <charset val="163"/>
    </font>
    <font>
      <sz val="10"/>
      <name val="VNI-Aptima"/>
    </font>
    <font>
      <b/>
      <sz val="8"/>
      <name val="Arial"/>
      <family val="2"/>
    </font>
    <font>
      <sz val="11"/>
      <name val="Tms Rmn"/>
    </font>
    <font>
      <sz val="12"/>
      <color theme="1"/>
      <name val="Calibri"/>
      <family val="2"/>
      <scheme val="minor"/>
    </font>
    <font>
      <u val="singleAccounting"/>
      <sz val="11"/>
      <name val="Times New Roman"/>
      <family val="1"/>
    </font>
    <font>
      <sz val="14"/>
      <color indexed="8"/>
      <name val="Times New Roman"/>
      <family val="2"/>
    </font>
    <font>
      <sz val="11"/>
      <name val="UVnTime"/>
    </font>
    <font>
      <b/>
      <sz val="16"/>
      <name val="Times New Roman"/>
      <family val="1"/>
    </font>
    <font>
      <b/>
      <sz val="12"/>
      <name val="VNTime"/>
      <family val="2"/>
    </font>
    <font>
      <sz val="10"/>
      <name val="MS Serif"/>
      <family val="1"/>
    </font>
    <font>
      <sz val="11"/>
      <name val="VNtimes new roman"/>
      <family val="2"/>
    </font>
    <font>
      <sz val="11"/>
      <color indexed="12"/>
      <name val="Times New Roman"/>
      <family val="1"/>
    </font>
    <font>
      <sz val="12"/>
      <name val="???"/>
      <family val="3"/>
      <charset val="129"/>
    </font>
    <font>
      <b/>
      <sz val="12"/>
      <name val="VNTimeH"/>
      <family val="2"/>
    </font>
    <font>
      <sz val="10"/>
      <name val="Arial CE"/>
      <charset val="238"/>
    </font>
    <font>
      <sz val="10"/>
      <name val="Arial CE"/>
    </font>
    <font>
      <sz val="10"/>
      <color indexed="16"/>
      <name val="MS Serif"/>
      <family val="1"/>
    </font>
    <font>
      <sz val="10"/>
      <name val="VNI-Helve-Condense"/>
    </font>
    <font>
      <sz val="11"/>
      <color indexed="8"/>
      <name val="Calibri"/>
      <family val="2"/>
      <charset val="1"/>
    </font>
    <font>
      <i/>
      <sz val="11"/>
      <color indexed="23"/>
      <name val="Calibri"/>
      <family val="2"/>
      <charset val="163"/>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sz val="12"/>
      <name val="VNTime"/>
      <family val="2"/>
    </font>
    <font>
      <sz val="11"/>
      <color indexed="17"/>
      <name val="Calibri"/>
      <family val="2"/>
      <charset val="163"/>
    </font>
    <font>
      <sz val="8"/>
      <name val="Arial"/>
      <family val="2"/>
    </font>
    <font>
      <b/>
      <sz val="11"/>
      <name val="Times New Roman"/>
      <family val="1"/>
    </font>
    <font>
      <sz val="10"/>
      <name val=".VnArialH"/>
      <family val="2"/>
    </font>
    <font>
      <b/>
      <sz val="12"/>
      <name val=".VnBook-AntiquaH"/>
      <family val="2"/>
    </font>
    <font>
      <b/>
      <sz val="12"/>
      <color indexed="9"/>
      <name val="Tms Rmn"/>
    </font>
    <font>
      <b/>
      <sz val="12"/>
      <name val="Helv"/>
    </font>
    <font>
      <b/>
      <sz val="12"/>
      <name val="Helv"/>
      <family val="2"/>
    </font>
    <font>
      <b/>
      <sz val="15"/>
      <color indexed="56"/>
      <name val="Calibri"/>
      <family val="2"/>
      <charset val="163"/>
    </font>
    <font>
      <b/>
      <sz val="13"/>
      <color indexed="56"/>
      <name val="Calibri"/>
      <family val="2"/>
      <charset val="163"/>
    </font>
    <font>
      <b/>
      <sz val="11"/>
      <color indexed="56"/>
      <name val="Calibri"/>
      <family val="2"/>
      <charset val="163"/>
    </font>
    <font>
      <b/>
      <sz val="18"/>
      <name val="Arial"/>
      <family val="2"/>
    </font>
    <font>
      <b/>
      <sz val="8"/>
      <name val="MS Sans Serif"/>
      <family val="2"/>
    </font>
    <font>
      <b/>
      <sz val="10"/>
      <name val=".VnTime"/>
      <family val="2"/>
    </font>
    <font>
      <b/>
      <sz val="14"/>
      <name val=".VnTimeH"/>
      <family val="2"/>
    </font>
    <font>
      <sz val="12"/>
      <name val="±¼¸²Ã¼"/>
      <family val="3"/>
      <charset val="129"/>
    </font>
    <font>
      <sz val="11"/>
      <color indexed="62"/>
      <name val="Calibri"/>
      <family val="2"/>
      <charset val="163"/>
    </font>
    <font>
      <u/>
      <sz val="10"/>
      <color indexed="12"/>
      <name val=".VnTime"/>
      <family val="2"/>
    </font>
    <font>
      <u/>
      <sz val="12"/>
      <color indexed="12"/>
      <name val=".VnTime"/>
      <family val="2"/>
    </font>
    <font>
      <u/>
      <sz val="12"/>
      <color indexed="12"/>
      <name val="Arial"/>
      <family val="2"/>
    </font>
    <font>
      <sz val="11"/>
      <color indexed="52"/>
      <name val="Calibri"/>
      <family val="2"/>
      <charset val="163"/>
    </font>
    <font>
      <i/>
      <sz val="10"/>
      <name val=".VnTime"/>
      <family val="2"/>
    </font>
    <font>
      <sz val="8"/>
      <name val="VNarial"/>
      <family val="2"/>
    </font>
    <font>
      <b/>
      <sz val="11"/>
      <name val="Helv"/>
    </font>
    <font>
      <b/>
      <sz val="11"/>
      <name val="Helv"/>
      <family val="2"/>
    </font>
    <font>
      <sz val="10"/>
      <name val=".VnAvant"/>
      <family val="2"/>
    </font>
    <font>
      <sz val="11"/>
      <color indexed="60"/>
      <name val="Calibri"/>
      <family val="2"/>
      <charset val="163"/>
    </font>
    <font>
      <sz val="7"/>
      <name val="Small Fonts"/>
      <family val="2"/>
    </font>
    <font>
      <b/>
      <sz val="12"/>
      <name val="VN-NTime"/>
    </font>
    <font>
      <sz val="10"/>
      <name val="VNtimes new roman"/>
      <family val="1"/>
    </font>
    <font>
      <b/>
      <i/>
      <sz val="16"/>
      <name val="Helv"/>
      <family val="2"/>
    </font>
    <font>
      <b/>
      <i/>
      <sz val="16"/>
      <name val="Helv"/>
    </font>
    <font>
      <sz val="12"/>
      <name val="바탕체"/>
      <family val="1"/>
      <charset val="129"/>
    </font>
    <font>
      <sz val="11"/>
      <color theme="1"/>
      <name val="Calibri"/>
      <family val="2"/>
    </font>
    <font>
      <sz val="12"/>
      <name val="timesnewroman"/>
    </font>
    <font>
      <sz val="11"/>
      <color theme="1"/>
      <name val="Arial"/>
      <family val="2"/>
    </font>
    <font>
      <sz val="10"/>
      <color indexed="8"/>
      <name val="Times New Roman"/>
      <family val="2"/>
    </font>
    <font>
      <sz val="12"/>
      <color theme="1"/>
      <name val="Times New Roman"/>
      <family val="2"/>
      <charset val="163"/>
    </font>
    <font>
      <sz val="11"/>
      <color theme="1"/>
      <name val="Calibri"/>
      <family val="2"/>
      <charset val="163"/>
      <scheme val="minor"/>
    </font>
    <font>
      <sz val="11"/>
      <name val="VNI-Aptima"/>
    </font>
    <font>
      <sz val="14"/>
      <name val="System"/>
      <family val="2"/>
    </font>
    <font>
      <b/>
      <sz val="11"/>
      <name val="Arial"/>
      <family val="2"/>
      <charset val="163"/>
    </font>
    <font>
      <b/>
      <sz val="11"/>
      <color indexed="63"/>
      <name val="Calibri"/>
      <family val="2"/>
      <charset val="163"/>
    </font>
    <font>
      <sz val="14"/>
      <name val=".VnArial Narrow"/>
      <family val="2"/>
    </font>
    <font>
      <sz val="12"/>
      <name val="Helv"/>
    </font>
    <font>
      <sz val="12"/>
      <name val="Helv"/>
      <family val="2"/>
    </font>
    <font>
      <b/>
      <sz val="10"/>
      <name val="MS Sans Serif"/>
      <family val="2"/>
    </font>
    <font>
      <sz val="8"/>
      <name val="Wingdings"/>
      <charset val="2"/>
    </font>
    <font>
      <sz val="8"/>
      <name val="Helv"/>
    </font>
    <font>
      <b/>
      <sz val="12"/>
      <color indexed="8"/>
      <name val="Arial"/>
      <family val="2"/>
      <charset val="163"/>
    </font>
    <font>
      <b/>
      <sz val="12"/>
      <color indexed="8"/>
      <name val="Arial"/>
      <family val="2"/>
    </font>
    <font>
      <b/>
      <i/>
      <sz val="12"/>
      <color indexed="8"/>
      <name val="Arial"/>
      <family val="2"/>
      <charset val="163"/>
    </font>
    <font>
      <b/>
      <i/>
      <sz val="12"/>
      <color indexed="8"/>
      <name val="Arial"/>
      <family val="2"/>
    </font>
    <font>
      <sz val="12"/>
      <color indexed="8"/>
      <name val="Arial"/>
      <family val="2"/>
      <charset val="163"/>
    </font>
    <font>
      <sz val="12"/>
      <color indexed="8"/>
      <name val="Arial"/>
      <family val="2"/>
    </font>
    <font>
      <i/>
      <sz val="12"/>
      <color indexed="8"/>
      <name val="Arial"/>
      <family val="2"/>
      <charset val="163"/>
    </font>
    <font>
      <i/>
      <sz val="12"/>
      <color indexed="8"/>
      <name val="Arial"/>
      <family val="2"/>
    </font>
    <font>
      <sz val="19"/>
      <color indexed="48"/>
      <name val="Arial"/>
      <family val="2"/>
      <charset val="163"/>
    </font>
    <font>
      <sz val="19"/>
      <color indexed="48"/>
      <name val="Arial"/>
      <family val="2"/>
    </font>
    <font>
      <sz val="12"/>
      <color indexed="14"/>
      <name val="Arial"/>
      <family val="2"/>
      <charset val="163"/>
    </font>
    <font>
      <sz val="12"/>
      <color indexed="14"/>
      <name val="Arial"/>
      <family val="2"/>
    </font>
    <font>
      <sz val="11"/>
      <name val="3C_Times_T"/>
    </font>
    <font>
      <sz val="8"/>
      <name val="MS Sans Serif"/>
      <family val="2"/>
    </font>
    <font>
      <b/>
      <sz val="10.5"/>
      <name val=".VnAvantH"/>
      <family val="2"/>
    </font>
    <font>
      <sz val="10"/>
      <name val="VNbook-Antiqua"/>
    </font>
    <font>
      <sz val="11"/>
      <color indexed="32"/>
      <name val="VNI-Times"/>
    </font>
    <font>
      <b/>
      <sz val="8"/>
      <color indexed="8"/>
      <name val="Helv"/>
    </font>
    <font>
      <sz val="10"/>
      <name val="Symbol"/>
      <family val="1"/>
      <charset val="2"/>
    </font>
    <font>
      <sz val="13"/>
      <name val=".VnArial"/>
      <family val="2"/>
    </font>
    <font>
      <b/>
      <sz val="10"/>
      <name val="VNI-Univer"/>
    </font>
    <font>
      <sz val="10"/>
      <name val=".VnBook-Antiqua"/>
      <family val="2"/>
    </font>
    <font>
      <sz val="12"/>
      <name val="VnTime"/>
    </font>
    <font>
      <b/>
      <sz val="12"/>
      <name val="VNI-Times"/>
    </font>
    <font>
      <sz val="11"/>
      <name val=".VnAvant"/>
      <family val="2"/>
    </font>
    <font>
      <b/>
      <sz val="13"/>
      <color indexed="8"/>
      <name val=".VnTimeH"/>
      <family val="2"/>
    </font>
    <font>
      <b/>
      <sz val="10"/>
      <color indexed="10"/>
      <name val="Arial"/>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56"/>
      <name val="Cambria"/>
      <family val="2"/>
      <charset val="163"/>
    </font>
    <font>
      <b/>
      <sz val="10"/>
      <name val=".VnTimeH"/>
      <family val="2"/>
    </font>
    <font>
      <b/>
      <sz val="11"/>
      <name val=".VnTimeH"/>
      <family val="2"/>
    </font>
    <font>
      <b/>
      <sz val="10"/>
      <name val=".VnArialH"/>
      <family val="2"/>
    </font>
    <font>
      <b/>
      <sz val="11"/>
      <color indexed="8"/>
      <name val="Calibri"/>
      <family val="2"/>
      <charset val="163"/>
    </font>
    <font>
      <sz val="10"/>
      <name val=".VnArial Narrow"/>
      <family val="2"/>
    </font>
    <font>
      <sz val="10"/>
      <name val="VNtimes new roman"/>
      <family val="2"/>
    </font>
    <font>
      <sz val="14"/>
      <name val="VnTime"/>
      <family val="2"/>
    </font>
    <font>
      <sz val="8"/>
      <name val=".VnTime"/>
      <family val="2"/>
    </font>
    <font>
      <b/>
      <sz val="8"/>
      <name val="VN Helvetica"/>
    </font>
    <font>
      <b/>
      <sz val="12"/>
      <name val=".VnTime"/>
      <family val="2"/>
    </font>
    <font>
      <b/>
      <sz val="10"/>
      <name val="VN AvantGBook"/>
    </font>
    <font>
      <b/>
      <sz val="10"/>
      <name val="VN Helvetica"/>
    </font>
    <font>
      <b/>
      <sz val="16"/>
      <name val=".VnTime"/>
      <family val="2"/>
    </font>
    <font>
      <sz val="10"/>
      <name val="VN Helvetica"/>
    </font>
    <font>
      <sz val="9"/>
      <name val=".VnTime"/>
      <family val="2"/>
    </font>
    <font>
      <sz val="11"/>
      <color indexed="10"/>
      <name val="Calibri"/>
      <family val="2"/>
      <charset val="163"/>
    </font>
    <font>
      <sz val="10"/>
      <name val="Geneva"/>
      <family val="2"/>
    </font>
    <font>
      <b/>
      <i/>
      <sz val="12"/>
      <name val=".VnTime"/>
      <family val="2"/>
    </font>
    <font>
      <sz val="14"/>
      <name val=".VnArial"/>
      <family val="2"/>
    </font>
    <font>
      <sz val="16"/>
      <name val="AngsanaUPC"/>
      <family val="3"/>
    </font>
    <font>
      <sz val="10"/>
      <name val=" "/>
      <family val="1"/>
    </font>
    <font>
      <sz val="14"/>
      <name val="뼻뮝"/>
      <family val="3"/>
      <charset val="129"/>
    </font>
    <font>
      <sz val="12"/>
      <color indexed="8"/>
      <name val="바탕체"/>
      <family val="3"/>
    </font>
    <font>
      <sz val="12"/>
      <name val="뼻뮝"/>
      <family val="1"/>
      <charset val="129"/>
    </font>
    <font>
      <sz val="10"/>
      <name val="명조"/>
      <family val="3"/>
      <charset val="129"/>
    </font>
    <font>
      <sz val="10"/>
      <name val="돋움체"/>
      <family val="3"/>
      <charset val="129"/>
    </font>
    <font>
      <sz val="9"/>
      <color indexed="81"/>
      <name val="Tahoma"/>
      <family val="2"/>
    </font>
    <font>
      <b/>
      <sz val="9"/>
      <color indexed="81"/>
      <name val="Tahoma"/>
      <family val="2"/>
    </font>
    <font>
      <sz val="11"/>
      <name val="Times New Roman"/>
      <family val="2"/>
    </font>
    <font>
      <sz val="11"/>
      <name val="Times New Roman"/>
      <family val="1"/>
      <charset val="163"/>
    </font>
    <font>
      <i/>
      <sz val="12"/>
      <color theme="1"/>
      <name val="Times New Roman"/>
      <family val="1"/>
    </font>
    <font>
      <sz val="12"/>
      <color rgb="FFC00000"/>
      <name val="Times New Roman"/>
      <family val="1"/>
    </font>
    <font>
      <b/>
      <sz val="10"/>
      <name val="Times New Roman"/>
      <family val="1"/>
    </font>
    <font>
      <sz val="10"/>
      <color rgb="FFFF0000"/>
      <name val="Times New Roman"/>
      <family val="1"/>
    </font>
    <font>
      <b/>
      <i/>
      <sz val="10"/>
      <color rgb="FFFF0000"/>
      <name val="Times New Roman"/>
      <family val="1"/>
    </font>
    <font>
      <sz val="16"/>
      <name val="Times New Roman"/>
      <family val="1"/>
    </font>
    <font>
      <b/>
      <i/>
      <sz val="16"/>
      <name val="Times New Roman"/>
      <family val="1"/>
    </font>
    <font>
      <sz val="10"/>
      <name val="Times New Roman"/>
      <family val="2"/>
    </font>
    <font>
      <b/>
      <sz val="13"/>
      <name val="Times New Roman"/>
      <family val="1"/>
      <charset val="163"/>
    </font>
    <font>
      <b/>
      <sz val="13"/>
      <name val="Times New Roman"/>
      <family val="1"/>
    </font>
    <font>
      <b/>
      <i/>
      <sz val="10"/>
      <name val="Times New Roman"/>
      <family val="1"/>
    </font>
    <font>
      <sz val="12"/>
      <name val="Calibri"/>
      <family val="2"/>
    </font>
    <font>
      <b/>
      <i/>
      <sz val="12"/>
      <name val="Times New Roman"/>
      <family val="1"/>
      <charset val="163"/>
    </font>
    <font>
      <i/>
      <sz val="12"/>
      <name val="Times New Roman"/>
      <family val="1"/>
      <charset val="163"/>
    </font>
    <font>
      <i/>
      <sz val="10"/>
      <name val="Times New Roman"/>
      <family val="1"/>
    </font>
    <font>
      <i/>
      <sz val="12"/>
      <name val="Calibri"/>
      <family val="2"/>
    </font>
    <font>
      <b/>
      <sz val="12"/>
      <name val="Calibri"/>
      <family val="2"/>
    </font>
    <font>
      <b/>
      <i/>
      <sz val="12"/>
      <name val="Arial"/>
      <family val="2"/>
    </font>
    <font>
      <sz val="12"/>
      <color rgb="FFFF0000"/>
      <name val="Times New Roman"/>
      <family val="1"/>
      <charset val="163"/>
    </font>
    <font>
      <b/>
      <i/>
      <sz val="12"/>
      <name val="Calibri"/>
      <family val="2"/>
    </font>
    <font>
      <sz val="12"/>
      <color rgb="FFFF0000"/>
      <name val="Times New Roman"/>
      <family val="2"/>
    </font>
    <font>
      <sz val="10"/>
      <color rgb="FF7030A0"/>
      <name val="Times New Roman"/>
      <family val="1"/>
    </font>
    <font>
      <u/>
      <sz val="10"/>
      <name val="Times New Roman"/>
      <family val="1"/>
    </font>
    <font>
      <b/>
      <u/>
      <sz val="10"/>
      <name val="Times New Roman"/>
      <family val="1"/>
    </font>
    <font>
      <b/>
      <i/>
      <u val="singleAccounting"/>
      <sz val="10"/>
      <name val="Times New Roman"/>
      <family val="1"/>
    </font>
    <font>
      <i/>
      <u val="singleAccounting"/>
      <sz val="10"/>
      <name val="Times New Roman"/>
      <family val="1"/>
    </font>
    <font>
      <b/>
      <sz val="10"/>
      <color rgb="FFFF0000"/>
      <name val="Times New Roman"/>
      <family val="1"/>
    </font>
    <font>
      <b/>
      <sz val="10"/>
      <color theme="1"/>
      <name val="Times New Roman"/>
      <family val="1"/>
    </font>
    <font>
      <sz val="10"/>
      <color theme="1"/>
      <name val="Times New Roman"/>
      <family val="1"/>
    </font>
    <font>
      <sz val="10"/>
      <color rgb="FF002060"/>
      <name val="Times New Roman"/>
      <family val="1"/>
    </font>
    <font>
      <b/>
      <i/>
      <sz val="10"/>
      <color rgb="FF7030A0"/>
      <name val="Times New Roman"/>
      <family val="1"/>
    </font>
    <font>
      <b/>
      <i/>
      <sz val="10"/>
      <color theme="1"/>
      <name val="Times New Roman"/>
      <family val="1"/>
    </font>
    <font>
      <i/>
      <sz val="10"/>
      <color theme="1"/>
      <name val="Times New Roman"/>
      <family val="1"/>
    </font>
    <font>
      <sz val="10"/>
      <color rgb="FFC00000"/>
      <name val="Times New Roman"/>
      <family val="1"/>
    </font>
    <font>
      <i/>
      <sz val="10"/>
      <color rgb="FFFF0000"/>
      <name val="Times New Roman"/>
      <family val="1"/>
    </font>
    <font>
      <sz val="10"/>
      <color indexed="8"/>
      <name val="Times New Roman"/>
      <family val="1"/>
    </font>
    <font>
      <sz val="10"/>
      <color indexed="10"/>
      <name val="Times New Roman"/>
      <family val="1"/>
    </font>
    <font>
      <sz val="10"/>
      <color rgb="FF00B0F0"/>
      <name val="Times New Roman"/>
      <family val="1"/>
    </font>
    <font>
      <sz val="10"/>
      <color theme="0"/>
      <name val="Times New Roman"/>
      <family val="1"/>
    </font>
  </fonts>
  <fills count="6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65"/>
        <bgColor indexed="64"/>
      </patternFill>
    </fill>
    <fill>
      <patternFill patternType="solid">
        <fgColor indexed="27"/>
        <bgColor indexed="64"/>
      </patternFill>
    </fill>
    <fill>
      <patternFill patternType="solid">
        <fgColor indexed="40"/>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rgb="FF00B050"/>
        <bgColor indexed="64"/>
      </patternFill>
    </fill>
    <fill>
      <patternFill patternType="solid">
        <fgColor rgb="FF00B0F0"/>
        <bgColor indexed="64"/>
      </patternFill>
    </fill>
    <fill>
      <patternFill patternType="solid">
        <fgColor theme="6" tint="-0.249977111117893"/>
        <bgColor indexed="64"/>
      </patternFill>
    </fill>
    <fill>
      <patternFill patternType="solid">
        <fgColor theme="7" tint="0.39997558519241921"/>
        <bgColor indexed="64"/>
      </patternFill>
    </fill>
    <fill>
      <patternFill patternType="solid">
        <fgColor rgb="FFFFC000"/>
        <bgColor indexed="64"/>
      </patternFill>
    </fill>
    <fill>
      <patternFill patternType="solid">
        <fgColor theme="8" tint="0.39997558519241921"/>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04FC86"/>
        <bgColor indexed="64"/>
      </patternFill>
    </fill>
    <fill>
      <patternFill patternType="solid">
        <fgColor rgb="FFFF0000"/>
        <bgColor indexed="64"/>
      </patternFill>
    </fill>
    <fill>
      <patternFill patternType="solid">
        <fgColor rgb="FFC000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double">
        <color indexed="64"/>
      </bottom>
      <diagonal/>
    </border>
    <border>
      <left/>
      <right style="double">
        <color indexed="64"/>
      </right>
      <top/>
      <bottom/>
      <diagonal/>
    </border>
    <border>
      <left/>
      <right/>
      <top style="double">
        <color indexed="64"/>
      </top>
      <bottom style="double">
        <color indexed="64"/>
      </bottom>
      <diagonal/>
    </border>
    <border>
      <left style="thick">
        <color indexed="64"/>
      </left>
      <right/>
      <top style="thick">
        <color indexed="64"/>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style="medium">
        <color indexed="64"/>
      </right>
      <top style="medium">
        <color indexed="64"/>
      </top>
      <bottom style="thin">
        <color indexed="64"/>
      </bottom>
      <diagonal/>
    </border>
    <border>
      <left/>
      <right style="medium">
        <color indexed="8"/>
      </right>
      <top/>
      <bottom/>
      <diagonal/>
    </border>
    <border>
      <left/>
      <right style="medium">
        <color indexed="0"/>
      </right>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right/>
      <top style="thin">
        <color indexed="62"/>
      </top>
      <bottom style="double">
        <color indexed="62"/>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medium">
        <color indexed="64"/>
      </top>
      <bottom/>
      <diagonal/>
    </border>
    <border>
      <left/>
      <right style="thin">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4314">
    <xf numFmtId="0" fontId="0" fillId="0" borderId="0"/>
    <xf numFmtId="169" fontId="7" fillId="0" borderId="0" applyFont="0" applyFill="0" applyBorder="0" applyAlignment="0" applyProtection="0"/>
    <xf numFmtId="0" fontId="8" fillId="0" borderId="0"/>
    <xf numFmtId="169" fontId="8" fillId="0" borderId="0" applyFont="0" applyFill="0" applyBorder="0" applyAlignment="0" applyProtection="0"/>
    <xf numFmtId="0" fontId="10" fillId="0" borderId="0"/>
    <xf numFmtId="0" fontId="11" fillId="0" borderId="0"/>
    <xf numFmtId="0" fontId="11" fillId="0" borderId="0"/>
    <xf numFmtId="0" fontId="11" fillId="0" borderId="0"/>
    <xf numFmtId="0" fontId="8"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8" fillId="0" borderId="0" applyProtection="0"/>
    <xf numFmtId="0" fontId="10" fillId="0" borderId="0"/>
    <xf numFmtId="0" fontId="11" fillId="0" borderId="0"/>
    <xf numFmtId="175" fontId="10" fillId="0" borderId="0" applyFont="0" applyFill="0" applyBorder="0" applyAlignment="0" applyProtection="0"/>
    <xf numFmtId="0" fontId="10" fillId="0" borderId="0"/>
    <xf numFmtId="0" fontId="11" fillId="0" borderId="0"/>
    <xf numFmtId="0" fontId="8" fillId="0" borderId="0"/>
    <xf numFmtId="169" fontId="8" fillId="0" borderId="0" applyFont="0" applyFill="0" applyBorder="0" applyAlignment="0" applyProtection="0"/>
    <xf numFmtId="0" fontId="8" fillId="0" borderId="0"/>
    <xf numFmtId="0" fontId="11" fillId="0" borderId="0"/>
    <xf numFmtId="0" fontId="11" fillId="0" borderId="0"/>
    <xf numFmtId="0" fontId="11" fillId="0" borderId="0"/>
    <xf numFmtId="0" fontId="10" fillId="0" borderId="0"/>
    <xf numFmtId="0" fontId="11" fillId="0" borderId="0"/>
    <xf numFmtId="0" fontId="10" fillId="0" borderId="0"/>
    <xf numFmtId="174" fontId="10" fillId="0" borderId="0" applyFont="0" applyFill="0" applyBorder="0" applyAlignment="0" applyProtection="0"/>
    <xf numFmtId="0" fontId="14" fillId="0" borderId="0"/>
    <xf numFmtId="0" fontId="15" fillId="0" borderId="0"/>
    <xf numFmtId="0" fontId="11" fillId="0" borderId="0" applyFont="0" applyFill="0" applyBorder="0" applyAlignment="0" applyProtection="0">
      <alignment vertical="center"/>
    </xf>
    <xf numFmtId="0" fontId="11" fillId="0" borderId="0">
      <alignment vertical="center"/>
    </xf>
    <xf numFmtId="0" fontId="17" fillId="0" borderId="0"/>
    <xf numFmtId="180" fontId="11" fillId="0" borderId="0" applyFont="0" applyFill="0" applyBorder="0" applyAlignment="0" applyProtection="0"/>
    <xf numFmtId="0" fontId="11" fillId="0" borderId="0"/>
    <xf numFmtId="177" fontId="10" fillId="0" borderId="0" applyFont="0" applyFill="0" applyBorder="0" applyAlignment="0" applyProtection="0"/>
    <xf numFmtId="174" fontId="11" fillId="0" borderId="0" applyFont="0" applyFill="0" applyBorder="0" applyAlignment="0" applyProtection="0"/>
    <xf numFmtId="169" fontId="10" fillId="0" borderId="0" applyFont="0" applyFill="0" applyBorder="0" applyAlignment="0" applyProtection="0"/>
    <xf numFmtId="0" fontId="10" fillId="0" borderId="0"/>
    <xf numFmtId="0" fontId="13" fillId="0" borderId="0"/>
    <xf numFmtId="174" fontId="18" fillId="0" borderId="0" applyFont="0" applyFill="0" applyBorder="0" applyAlignment="0" applyProtection="0"/>
    <xf numFmtId="0" fontId="6" fillId="0" borderId="0"/>
    <xf numFmtId="169" fontId="10" fillId="0" borderId="0" applyFont="0" applyFill="0" applyBorder="0" applyAlignment="0" applyProtection="0"/>
    <xf numFmtId="175" fontId="6" fillId="0" borderId="0" applyFont="0" applyFill="0" applyBorder="0" applyAlignment="0" applyProtection="0"/>
    <xf numFmtId="169" fontId="20" fillId="0" borderId="0" applyFont="0" applyFill="0" applyBorder="0" applyAlignment="0" applyProtection="0"/>
    <xf numFmtId="0" fontId="10" fillId="0" borderId="0"/>
    <xf numFmtId="0" fontId="13" fillId="0" borderId="0"/>
    <xf numFmtId="0" fontId="10" fillId="0" borderId="0"/>
    <xf numFmtId="0" fontId="10" fillId="0" borderId="0"/>
    <xf numFmtId="0" fontId="20" fillId="0" borderId="0"/>
    <xf numFmtId="0" fontId="5" fillId="0" borderId="0"/>
    <xf numFmtId="169" fontId="10" fillId="0" borderId="0" applyFont="0" applyFill="0" applyBorder="0" applyAlignment="0" applyProtection="0">
      <alignment vertical="center"/>
    </xf>
    <xf numFmtId="0" fontId="11" fillId="0" borderId="0"/>
    <xf numFmtId="0" fontId="10" fillId="0" borderId="0"/>
    <xf numFmtId="0" fontId="11" fillId="0" borderId="0"/>
    <xf numFmtId="0" fontId="10" fillId="0" borderId="0"/>
    <xf numFmtId="0" fontId="13" fillId="0" borderId="0"/>
    <xf numFmtId="174" fontId="10" fillId="0" borderId="0" applyFont="0" applyFill="0" applyBorder="0" applyAlignment="0" applyProtection="0"/>
    <xf numFmtId="17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1" fillId="0" borderId="0" applyFont="0" applyFill="0" applyBorder="0" applyAlignment="0" applyProtection="0"/>
    <xf numFmtId="174" fontId="13" fillId="0" borderId="0" applyFont="0" applyFill="0" applyBorder="0" applyAlignment="0" applyProtection="0"/>
    <xf numFmtId="0" fontId="10" fillId="0" borderId="0"/>
    <xf numFmtId="0" fontId="29" fillId="0" borderId="0"/>
    <xf numFmtId="0" fontId="30" fillId="0" borderId="0"/>
    <xf numFmtId="0" fontId="10" fillId="0" borderId="0"/>
    <xf numFmtId="0" fontId="10" fillId="0" borderId="0"/>
    <xf numFmtId="0" fontId="10" fillId="0" borderId="0" applyProtection="0"/>
    <xf numFmtId="0" fontId="11" fillId="0" borderId="0"/>
    <xf numFmtId="0" fontId="31" fillId="0" borderId="0" applyNumberFormat="0" applyFill="0" applyBorder="0" applyProtection="0">
      <alignment vertical="top"/>
    </xf>
    <xf numFmtId="0" fontId="18" fillId="0" borderId="0"/>
    <xf numFmtId="0" fontId="10"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9" fontId="7" fillId="0" borderId="0" applyFont="0" applyFill="0" applyBorder="0" applyAlignment="0" applyProtection="0"/>
    <xf numFmtId="0" fontId="13" fillId="0" borderId="0"/>
    <xf numFmtId="169" fontId="4" fillId="0" borderId="0" applyFont="0" applyFill="0" applyBorder="0" applyAlignment="0" applyProtection="0"/>
    <xf numFmtId="187" fontId="37"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Protection="0"/>
    <xf numFmtId="0" fontId="38" fillId="0" borderId="0"/>
    <xf numFmtId="0" fontId="38" fillId="0" borderId="0"/>
    <xf numFmtId="3" fontId="39" fillId="0" borderId="1"/>
    <xf numFmtId="3" fontId="39" fillId="0" borderId="1"/>
    <xf numFmtId="176" fontId="8" fillId="0" borderId="14" applyFont="0" applyBorder="0"/>
    <xf numFmtId="176" fontId="40" fillId="0" borderId="0" applyProtection="0"/>
    <xf numFmtId="176" fontId="8" fillId="0" borderId="14" applyFont="0" applyBorder="0"/>
    <xf numFmtId="0" fontId="41" fillId="0" borderId="0"/>
    <xf numFmtId="188" fontId="42" fillId="0" borderId="0" applyFont="0" applyFill="0" applyBorder="0" applyAlignment="0" applyProtection="0"/>
    <xf numFmtId="0" fontId="43" fillId="0" borderId="0" applyFont="0" applyFill="0" applyBorder="0" applyAlignment="0" applyProtection="0"/>
    <xf numFmtId="189" fontId="11" fillId="0" borderId="0" applyFont="0" applyFill="0" applyBorder="0" applyAlignment="0" applyProtection="0"/>
    <xf numFmtId="190" fontId="44" fillId="0" borderId="0" applyFont="0" applyFill="0" applyBorder="0" applyAlignment="0" applyProtection="0"/>
    <xf numFmtId="191" fontId="44" fillId="0" borderId="0" applyFont="0" applyFill="0" applyBorder="0" applyAlignment="0" applyProtection="0"/>
    <xf numFmtId="191" fontId="44" fillId="0" borderId="0" applyFont="0" applyFill="0" applyBorder="0" applyAlignment="0" applyProtection="0"/>
    <xf numFmtId="191" fontId="44" fillId="0" borderId="0" applyFont="0" applyFill="0" applyBorder="0" applyAlignment="0" applyProtection="0"/>
    <xf numFmtId="191" fontId="44" fillId="0" borderId="0" applyFont="0" applyFill="0" applyBorder="0" applyAlignment="0" applyProtection="0"/>
    <xf numFmtId="191" fontId="44" fillId="0" borderId="0" applyFont="0" applyFill="0" applyBorder="0" applyAlignment="0" applyProtection="0"/>
    <xf numFmtId="191" fontId="4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5" fillId="0" borderId="0" applyFont="0" applyFill="0" applyBorder="0" applyAlignment="0" applyProtection="0"/>
    <xf numFmtId="0" fontId="46" fillId="0" borderId="15"/>
    <xf numFmtId="192" fontId="41" fillId="0" borderId="0" applyFont="0" applyFill="0" applyBorder="0" applyAlignment="0" applyProtection="0"/>
    <xf numFmtId="193" fontId="47" fillId="0" borderId="0" applyFont="0" applyFill="0" applyBorder="0" applyAlignment="0" applyProtection="0"/>
    <xf numFmtId="175" fontId="47" fillId="0" borderId="0" applyFont="0" applyFill="0" applyBorder="0" applyAlignment="0" applyProtection="0"/>
    <xf numFmtId="194" fontId="48" fillId="0" borderId="0" applyFont="0" applyFill="0" applyBorder="0" applyAlignment="0" applyProtection="0"/>
    <xf numFmtId="0" fontId="49"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Protection="0"/>
    <xf numFmtId="0" fontId="50" fillId="0" borderId="0"/>
    <xf numFmtId="0" fontId="11" fillId="0" borderId="0" applyProtection="0"/>
    <xf numFmtId="0" fontId="5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Protection="0"/>
    <xf numFmtId="0" fontId="35" fillId="0" borderId="0" applyNumberFormat="0" applyFill="0" applyBorder="0" applyProtection="0">
      <alignment vertical="center"/>
    </xf>
    <xf numFmtId="193" fontId="18" fillId="0" borderId="0" applyFont="0" applyFill="0" applyBorder="0" applyAlignment="0" applyProtection="0"/>
    <xf numFmtId="195" fontId="42" fillId="0" borderId="0" applyFont="0" applyFill="0" applyBorder="0" applyAlignment="0" applyProtection="0"/>
    <xf numFmtId="196" fontId="37" fillId="0" borderId="0" applyFont="0" applyFill="0" applyBorder="0" applyAlignment="0" applyProtection="0"/>
    <xf numFmtId="166" fontId="42"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197" fontId="18" fillId="0" borderId="0" applyFont="0" applyFill="0" applyBorder="0" applyAlignment="0" applyProtection="0"/>
    <xf numFmtId="166" fontId="42" fillId="0" borderId="0" applyFont="0" applyFill="0" applyBorder="0" applyAlignment="0" applyProtection="0"/>
    <xf numFmtId="195" fontId="42" fillId="0" borderId="0" applyFont="0" applyFill="0" applyBorder="0" applyAlignment="0" applyProtection="0"/>
    <xf numFmtId="166" fontId="42"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52" fillId="0" borderId="0"/>
    <xf numFmtId="166" fontId="42" fillId="0" borderId="0" applyFont="0" applyFill="0" applyBorder="0" applyAlignment="0" applyProtection="0"/>
    <xf numFmtId="195" fontId="42" fillId="0" borderId="0" applyFont="0" applyFill="0" applyBorder="0" applyAlignment="0" applyProtection="0"/>
    <xf numFmtId="0" fontId="52" fillId="0" borderId="0"/>
    <xf numFmtId="166" fontId="42" fillId="0" borderId="0" applyFont="0" applyFill="0" applyBorder="0" applyAlignment="0" applyProtection="0"/>
    <xf numFmtId="0" fontId="53" fillId="0" borderId="0">
      <alignment vertical="top"/>
    </xf>
    <xf numFmtId="0" fontId="54" fillId="0" borderId="0">
      <alignment vertical="top"/>
    </xf>
    <xf numFmtId="0" fontId="54" fillId="0" borderId="0">
      <alignment vertical="top"/>
    </xf>
    <xf numFmtId="0" fontId="41" fillId="0" borderId="0" applyNumberFormat="0" applyFill="0" applyBorder="0" applyAlignment="0" applyProtection="0"/>
    <xf numFmtId="188" fontId="37" fillId="0" borderId="0" applyFont="0" applyFill="0" applyBorder="0" applyAlignment="0" applyProtection="0"/>
    <xf numFmtId="0" fontId="41" fillId="0" borderId="0" applyNumberFormat="0" applyFill="0" applyBorder="0" applyAlignment="0" applyProtection="0"/>
    <xf numFmtId="166" fontId="42" fillId="0" borderId="0" applyFont="0" applyFill="0" applyBorder="0" applyAlignment="0" applyProtection="0"/>
    <xf numFmtId="171" fontId="42" fillId="0" borderId="0" applyFont="0" applyFill="0" applyBorder="0" applyAlignment="0" applyProtection="0"/>
    <xf numFmtId="198" fontId="42" fillId="0" borderId="0" applyFont="0" applyFill="0" applyBorder="0" applyAlignment="0" applyProtection="0"/>
    <xf numFmtId="198" fontId="42" fillId="0" borderId="0" applyFont="0" applyFill="0" applyBorder="0" applyAlignment="0" applyProtection="0"/>
    <xf numFmtId="198" fontId="42" fillId="0" borderId="0" applyFont="0" applyFill="0" applyBorder="0" applyAlignment="0" applyProtection="0"/>
    <xf numFmtId="199" fontId="42"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166" fontId="42" fillId="0" borderId="0" applyFont="0" applyFill="0" applyBorder="0" applyAlignment="0" applyProtection="0"/>
    <xf numFmtId="0" fontId="52" fillId="0" borderId="0"/>
    <xf numFmtId="195" fontId="42" fillId="0" borderId="0" applyFont="0" applyFill="0" applyBorder="0" applyAlignment="0" applyProtection="0"/>
    <xf numFmtId="0" fontId="52" fillId="0" borderId="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52" fillId="0" borderId="0"/>
    <xf numFmtId="166" fontId="42" fillId="0" borderId="0" applyFont="0" applyFill="0" applyBorder="0" applyAlignment="0" applyProtection="0"/>
    <xf numFmtId="166" fontId="42"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52" fillId="0" borderId="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52" fillId="0" borderId="0"/>
    <xf numFmtId="166" fontId="42" fillId="0" borderId="0" applyFont="0" applyFill="0" applyBorder="0" applyAlignment="0" applyProtection="0"/>
    <xf numFmtId="0" fontId="52" fillId="0" borderId="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52" fillId="0" borderId="0"/>
    <xf numFmtId="0" fontId="52" fillId="0" borderId="0"/>
    <xf numFmtId="0" fontId="52" fillId="0" borderId="0"/>
    <xf numFmtId="199" fontId="42" fillId="0" borderId="0" applyFont="0" applyFill="0" applyBorder="0" applyAlignment="0" applyProtection="0"/>
    <xf numFmtId="171"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166" fontId="42" fillId="0" borderId="0" applyFont="0" applyFill="0" applyBorder="0" applyAlignment="0" applyProtection="0"/>
    <xf numFmtId="199" fontId="42"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166" fontId="42" fillId="0" borderId="0" applyFont="0" applyFill="0" applyBorder="0" applyAlignment="0" applyProtection="0"/>
    <xf numFmtId="0" fontId="52" fillId="0" borderId="0"/>
    <xf numFmtId="0" fontId="52" fillId="0" borderId="0"/>
    <xf numFmtId="195" fontId="42" fillId="0" borderId="0" applyFont="0" applyFill="0" applyBorder="0" applyAlignment="0" applyProtection="0"/>
    <xf numFmtId="0" fontId="52" fillId="0" borderId="0"/>
    <xf numFmtId="0" fontId="52" fillId="0" borderId="0"/>
    <xf numFmtId="0" fontId="52" fillId="0" borderId="0"/>
    <xf numFmtId="196" fontId="37" fillId="0" borderId="0" applyFont="0" applyFill="0" applyBorder="0" applyAlignment="0" applyProtection="0"/>
    <xf numFmtId="166" fontId="42" fillId="0" borderId="0" applyFont="0" applyFill="0" applyBorder="0" applyAlignment="0" applyProtection="0"/>
    <xf numFmtId="171" fontId="42" fillId="0" borderId="0" applyFont="0" applyFill="0" applyBorder="0" applyAlignment="0" applyProtection="0"/>
    <xf numFmtId="166" fontId="42" fillId="0" borderId="0" applyFont="0" applyFill="0" applyBorder="0" applyAlignment="0" applyProtection="0"/>
    <xf numFmtId="196" fontId="37" fillId="0" borderId="0" applyFont="0" applyFill="0" applyBorder="0" applyAlignment="0" applyProtection="0"/>
    <xf numFmtId="200"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200"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87" fontId="37" fillId="0" borderId="0" applyFont="0" applyFill="0" applyBorder="0" applyAlignment="0" applyProtection="0"/>
    <xf numFmtId="175" fontId="37" fillId="0" borderId="0" applyFont="0" applyFill="0" applyBorder="0" applyAlignment="0" applyProtection="0"/>
    <xf numFmtId="201" fontId="42" fillId="0" borderId="0" applyFont="0" applyFill="0" applyBorder="0" applyAlignment="0" applyProtection="0"/>
    <xf numFmtId="174"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43" fontId="42" fillId="0" borderId="0" applyFont="0" applyFill="0" applyBorder="0" applyAlignment="0" applyProtection="0"/>
    <xf numFmtId="202" fontId="42" fillId="0" borderId="0" applyFont="0" applyFill="0" applyBorder="0" applyAlignment="0" applyProtection="0"/>
    <xf numFmtId="180" fontId="42" fillId="0" borderId="0" applyFont="0" applyFill="0" applyBorder="0" applyAlignment="0" applyProtection="0"/>
    <xf numFmtId="201" fontId="42" fillId="0" borderId="0" applyFont="0" applyFill="0" applyBorder="0" applyAlignment="0" applyProtection="0"/>
    <xf numFmtId="180" fontId="42" fillId="0" borderId="0" applyFont="0" applyFill="0" applyBorder="0" applyAlignment="0" applyProtection="0"/>
    <xf numFmtId="43" fontId="42" fillId="0" borderId="0" applyFont="0" applyFill="0" applyBorder="0" applyAlignment="0" applyProtection="0"/>
    <xf numFmtId="203"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175" fontId="42" fillId="0" borderId="0" applyFont="0" applyFill="0" applyBorder="0" applyAlignment="0" applyProtection="0"/>
    <xf numFmtId="175" fontId="42" fillId="0" borderId="0" applyFont="0" applyFill="0" applyBorder="0" applyAlignment="0" applyProtection="0"/>
    <xf numFmtId="169" fontId="42" fillId="0" borderId="0" applyFont="0" applyFill="0" applyBorder="0" applyAlignment="0" applyProtection="0"/>
    <xf numFmtId="201" fontId="42" fillId="0" borderId="0" applyFont="0" applyFill="0" applyBorder="0" applyAlignment="0" applyProtection="0"/>
    <xf numFmtId="204" fontId="42"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180" fontId="42" fillId="0" borderId="0" applyFont="0" applyFill="0" applyBorder="0" applyAlignment="0" applyProtection="0"/>
    <xf numFmtId="169" fontId="42" fillId="0" borderId="0" applyFont="0" applyFill="0" applyBorder="0" applyAlignment="0" applyProtection="0"/>
    <xf numFmtId="202"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75" fontId="42" fillId="0" borderId="0" applyFont="0" applyFill="0" applyBorder="0" applyAlignment="0" applyProtection="0"/>
    <xf numFmtId="43" fontId="42" fillId="0" borderId="0" applyFont="0" applyFill="0" applyBorder="0" applyAlignment="0" applyProtection="0"/>
    <xf numFmtId="201" fontId="42" fillId="0" borderId="0" applyFont="0" applyFill="0" applyBorder="0" applyAlignment="0" applyProtection="0"/>
    <xf numFmtId="0" fontId="42" fillId="0" borderId="0" applyFont="0" applyFill="0" applyBorder="0" applyAlignment="0" applyProtection="0"/>
    <xf numFmtId="175" fontId="42" fillId="0" borderId="0" applyFont="0" applyFill="0" applyBorder="0" applyAlignment="0" applyProtection="0"/>
    <xf numFmtId="175" fontId="42" fillId="0" borderId="0" applyFont="0" applyFill="0" applyBorder="0" applyAlignment="0" applyProtection="0"/>
    <xf numFmtId="175" fontId="42" fillId="0" borderId="0" applyFont="0" applyFill="0" applyBorder="0" applyAlignment="0" applyProtection="0"/>
    <xf numFmtId="203"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4"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43"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169" fontId="42" fillId="0" borderId="0" applyFont="0" applyFill="0" applyBorder="0" applyAlignment="0" applyProtection="0"/>
    <xf numFmtId="201" fontId="42" fillId="0" borderId="0" applyFont="0" applyFill="0" applyBorder="0" applyAlignment="0" applyProtection="0"/>
    <xf numFmtId="175" fontId="42" fillId="0" borderId="0" applyFont="0" applyFill="0" applyBorder="0" applyAlignment="0" applyProtection="0"/>
    <xf numFmtId="169" fontId="42" fillId="0" borderId="0" applyFont="0" applyFill="0" applyBorder="0" applyAlignment="0" applyProtection="0"/>
    <xf numFmtId="201"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204" fontId="42" fillId="0" borderId="0" applyFont="0" applyFill="0" applyBorder="0" applyAlignment="0" applyProtection="0"/>
    <xf numFmtId="43" fontId="42" fillId="0" borderId="0" applyFont="0" applyFill="0" applyBorder="0" applyAlignment="0" applyProtection="0"/>
    <xf numFmtId="204" fontId="42" fillId="0" borderId="0" applyFont="0" applyFill="0" applyBorder="0" applyAlignment="0" applyProtection="0"/>
    <xf numFmtId="169" fontId="42" fillId="0" borderId="0" applyFont="0" applyFill="0" applyBorder="0" applyAlignment="0" applyProtection="0"/>
    <xf numFmtId="201" fontId="42" fillId="0" borderId="0" applyFont="0" applyFill="0" applyBorder="0" applyAlignment="0" applyProtection="0"/>
    <xf numFmtId="203" fontId="42" fillId="0" borderId="0" applyFont="0" applyFill="0" applyBorder="0" applyAlignment="0" applyProtection="0"/>
    <xf numFmtId="201"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204" fontId="42" fillId="0" borderId="0" applyFont="0" applyFill="0" applyBorder="0" applyAlignment="0" applyProtection="0"/>
    <xf numFmtId="180" fontId="42" fillId="0" borderId="0" applyFont="0" applyFill="0" applyBorder="0" applyAlignment="0" applyProtection="0"/>
    <xf numFmtId="169" fontId="42" fillId="0" borderId="0" applyFont="0" applyFill="0" applyBorder="0" applyAlignment="0" applyProtection="0"/>
    <xf numFmtId="180" fontId="42" fillId="0" borderId="0" applyFont="0" applyFill="0" applyBorder="0" applyAlignment="0" applyProtection="0"/>
    <xf numFmtId="201" fontId="42" fillId="0" borderId="0" applyFont="0" applyFill="0" applyBorder="0" applyAlignment="0" applyProtection="0"/>
    <xf numFmtId="180" fontId="42" fillId="0" borderId="0" applyFont="0" applyFill="0" applyBorder="0" applyAlignment="0" applyProtection="0"/>
    <xf numFmtId="201" fontId="42" fillId="0" borderId="0" applyFont="0" applyFill="0" applyBorder="0" applyAlignment="0" applyProtection="0"/>
    <xf numFmtId="205" fontId="42" fillId="0" borderId="0" applyFont="0" applyFill="0" applyBorder="0" applyAlignment="0" applyProtection="0"/>
    <xf numFmtId="206" fontId="42" fillId="0" borderId="0" applyFont="0" applyFill="0" applyBorder="0" applyAlignment="0" applyProtection="0"/>
    <xf numFmtId="204" fontId="42"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203" fontId="42" fillId="0" borderId="0" applyFont="0" applyFill="0" applyBorder="0" applyAlignment="0" applyProtection="0"/>
    <xf numFmtId="201" fontId="42" fillId="0" borderId="0" applyFont="0" applyFill="0" applyBorder="0" applyAlignment="0" applyProtection="0"/>
    <xf numFmtId="193" fontId="37" fillId="0" borderId="0" applyFont="0" applyFill="0" applyBorder="0" applyAlignment="0" applyProtection="0"/>
    <xf numFmtId="166" fontId="42" fillId="0" borderId="0" applyFont="0" applyFill="0" applyBorder="0" applyAlignment="0" applyProtection="0"/>
    <xf numFmtId="171" fontId="42" fillId="0" borderId="0" applyFont="0" applyFill="0" applyBorder="0" applyAlignment="0" applyProtection="0"/>
    <xf numFmtId="166" fontId="42" fillId="0" borderId="0" applyFont="0" applyFill="0" applyBorder="0" applyAlignment="0" applyProtection="0"/>
    <xf numFmtId="195"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99"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99" fontId="42" fillId="0" borderId="0" applyFont="0" applyFill="0" applyBorder="0" applyAlignment="0" applyProtection="0"/>
    <xf numFmtId="188" fontId="37" fillId="0" borderId="0" applyFont="0" applyFill="0" applyBorder="0" applyAlignment="0" applyProtection="0"/>
    <xf numFmtId="171" fontId="42" fillId="0" borderId="0" applyFont="0" applyFill="0" applyBorder="0" applyAlignment="0" applyProtection="0"/>
    <xf numFmtId="198" fontId="42" fillId="0" borderId="0" applyFont="0" applyFill="0" applyBorder="0" applyAlignment="0" applyProtection="0"/>
    <xf numFmtId="198" fontId="42" fillId="0" borderId="0" applyFont="0" applyFill="0" applyBorder="0" applyAlignment="0" applyProtection="0"/>
    <xf numFmtId="198" fontId="42" fillId="0" borderId="0" applyFont="0" applyFill="0" applyBorder="0" applyAlignment="0" applyProtection="0"/>
    <xf numFmtId="195" fontId="42" fillId="0" borderId="0" applyFont="0" applyFill="0" applyBorder="0" applyAlignment="0" applyProtection="0"/>
    <xf numFmtId="199"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99" fontId="42" fillId="0" borderId="0" applyFont="0" applyFill="0" applyBorder="0" applyAlignment="0" applyProtection="0"/>
    <xf numFmtId="166" fontId="42" fillId="0" borderId="0" applyFont="0" applyFill="0" applyBorder="0" applyAlignment="0" applyProtection="0"/>
    <xf numFmtId="199"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95" fontId="42" fillId="0" borderId="0" applyFont="0" applyFill="0" applyBorder="0" applyAlignment="0" applyProtection="0"/>
    <xf numFmtId="166" fontId="42" fillId="0" borderId="0" applyFont="0" applyFill="0" applyBorder="0" applyAlignment="0" applyProtection="0"/>
    <xf numFmtId="171"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99" fontId="42" fillId="0" borderId="0" applyFont="0" applyFill="0" applyBorder="0" applyAlignment="0" applyProtection="0"/>
    <xf numFmtId="188" fontId="42" fillId="0" borderId="0" applyFont="0" applyFill="0" applyBorder="0" applyAlignment="0" applyProtection="0"/>
    <xf numFmtId="207" fontId="42" fillId="0" borderId="0" applyFont="0" applyFill="0" applyBorder="0" applyAlignment="0" applyProtection="0"/>
    <xf numFmtId="207" fontId="42" fillId="0" borderId="0" applyFont="0" applyFill="0" applyBorder="0" applyAlignment="0" applyProtection="0"/>
    <xf numFmtId="207" fontId="42" fillId="0" borderId="0" applyFont="0" applyFill="0" applyBorder="0" applyAlignment="0" applyProtection="0"/>
    <xf numFmtId="207" fontId="42" fillId="0" borderId="0" applyFont="0" applyFill="0" applyBorder="0" applyAlignment="0" applyProtection="0"/>
    <xf numFmtId="188" fontId="37" fillId="0" borderId="0" applyFont="0" applyFill="0" applyBorder="0" applyAlignment="0" applyProtection="0"/>
    <xf numFmtId="208" fontId="55" fillId="0" borderId="0" applyFont="0" applyFill="0" applyBorder="0" applyAlignment="0" applyProtection="0"/>
    <xf numFmtId="209" fontId="42" fillId="0" borderId="0" applyFont="0" applyFill="0" applyBorder="0" applyAlignment="0" applyProtection="0"/>
    <xf numFmtId="207" fontId="42" fillId="0" borderId="0" applyFont="0" applyFill="0" applyBorder="0" applyAlignment="0" applyProtection="0"/>
    <xf numFmtId="207" fontId="42" fillId="0" borderId="0" applyFont="0" applyFill="0" applyBorder="0" applyAlignment="0" applyProtection="0"/>
    <xf numFmtId="207" fontId="42" fillId="0" borderId="0" applyFont="0" applyFill="0" applyBorder="0" applyAlignment="0" applyProtection="0"/>
    <xf numFmtId="207" fontId="42" fillId="0" borderId="0" applyFont="0" applyFill="0" applyBorder="0" applyAlignment="0" applyProtection="0"/>
    <xf numFmtId="188" fontId="42" fillId="0" borderId="0" applyFont="0" applyFill="0" applyBorder="0" applyAlignment="0" applyProtection="0"/>
    <xf numFmtId="210" fontId="42" fillId="0" borderId="0" applyFont="0" applyFill="0" applyBorder="0" applyAlignment="0" applyProtection="0"/>
    <xf numFmtId="199" fontId="42" fillId="0" borderId="0" applyFont="0" applyFill="0" applyBorder="0" applyAlignment="0" applyProtection="0"/>
    <xf numFmtId="166" fontId="42" fillId="0" borderId="0" applyFont="0" applyFill="0" applyBorder="0" applyAlignment="0" applyProtection="0"/>
    <xf numFmtId="195" fontId="42" fillId="0" borderId="0" applyFont="0" applyFill="0" applyBorder="0" applyAlignment="0" applyProtection="0"/>
    <xf numFmtId="166" fontId="42" fillId="0" borderId="0" applyFont="0" applyFill="0" applyBorder="0" applyAlignment="0" applyProtection="0"/>
    <xf numFmtId="201" fontId="42" fillId="0" borderId="0" applyFont="0" applyFill="0" applyBorder="0" applyAlignment="0" applyProtection="0"/>
    <xf numFmtId="174"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43" fontId="42" fillId="0" borderId="0" applyFont="0" applyFill="0" applyBorder="0" applyAlignment="0" applyProtection="0"/>
    <xf numFmtId="202" fontId="42" fillId="0" borderId="0" applyFont="0" applyFill="0" applyBorder="0" applyAlignment="0" applyProtection="0"/>
    <xf numFmtId="180" fontId="42" fillId="0" borderId="0" applyFont="0" applyFill="0" applyBorder="0" applyAlignment="0" applyProtection="0"/>
    <xf numFmtId="201" fontId="42" fillId="0" borderId="0" applyFont="0" applyFill="0" applyBorder="0" applyAlignment="0" applyProtection="0"/>
    <xf numFmtId="180" fontId="42" fillId="0" borderId="0" applyFont="0" applyFill="0" applyBorder="0" applyAlignment="0" applyProtection="0"/>
    <xf numFmtId="43" fontId="42" fillId="0" borderId="0" applyFont="0" applyFill="0" applyBorder="0" applyAlignment="0" applyProtection="0"/>
    <xf numFmtId="203"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175" fontId="42" fillId="0" borderId="0" applyFont="0" applyFill="0" applyBorder="0" applyAlignment="0" applyProtection="0"/>
    <xf numFmtId="175" fontId="42" fillId="0" borderId="0" applyFont="0" applyFill="0" applyBorder="0" applyAlignment="0" applyProtection="0"/>
    <xf numFmtId="169" fontId="42" fillId="0" borderId="0" applyFont="0" applyFill="0" applyBorder="0" applyAlignment="0" applyProtection="0"/>
    <xf numFmtId="201" fontId="42" fillId="0" borderId="0" applyFont="0" applyFill="0" applyBorder="0" applyAlignment="0" applyProtection="0"/>
    <xf numFmtId="204" fontId="42"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180" fontId="42" fillId="0" borderId="0" applyFont="0" applyFill="0" applyBorder="0" applyAlignment="0" applyProtection="0"/>
    <xf numFmtId="169" fontId="42" fillId="0" borderId="0" applyFont="0" applyFill="0" applyBorder="0" applyAlignment="0" applyProtection="0"/>
    <xf numFmtId="202"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75" fontId="42" fillId="0" borderId="0" applyFont="0" applyFill="0" applyBorder="0" applyAlignment="0" applyProtection="0"/>
    <xf numFmtId="43" fontId="42" fillId="0" borderId="0" applyFont="0" applyFill="0" applyBorder="0" applyAlignment="0" applyProtection="0"/>
    <xf numFmtId="201" fontId="42" fillId="0" borderId="0" applyFont="0" applyFill="0" applyBorder="0" applyAlignment="0" applyProtection="0"/>
    <xf numFmtId="0" fontId="42" fillId="0" borderId="0" applyFont="0" applyFill="0" applyBorder="0" applyAlignment="0" applyProtection="0"/>
    <xf numFmtId="175" fontId="42" fillId="0" borderId="0" applyFont="0" applyFill="0" applyBorder="0" applyAlignment="0" applyProtection="0"/>
    <xf numFmtId="175" fontId="42" fillId="0" borderId="0" applyFont="0" applyFill="0" applyBorder="0" applyAlignment="0" applyProtection="0"/>
    <xf numFmtId="175" fontId="42" fillId="0" borderId="0" applyFont="0" applyFill="0" applyBorder="0" applyAlignment="0" applyProtection="0"/>
    <xf numFmtId="203"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4"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43"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169" fontId="42" fillId="0" borderId="0" applyFont="0" applyFill="0" applyBorder="0" applyAlignment="0" applyProtection="0"/>
    <xf numFmtId="201" fontId="42" fillId="0" borderId="0" applyFont="0" applyFill="0" applyBorder="0" applyAlignment="0" applyProtection="0"/>
    <xf numFmtId="175" fontId="42" fillId="0" borderId="0" applyFont="0" applyFill="0" applyBorder="0" applyAlignment="0" applyProtection="0"/>
    <xf numFmtId="169" fontId="42" fillId="0" borderId="0" applyFont="0" applyFill="0" applyBorder="0" applyAlignment="0" applyProtection="0"/>
    <xf numFmtId="201"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204" fontId="42" fillId="0" borderId="0" applyFont="0" applyFill="0" applyBorder="0" applyAlignment="0" applyProtection="0"/>
    <xf numFmtId="43" fontId="42" fillId="0" borderId="0" applyFont="0" applyFill="0" applyBorder="0" applyAlignment="0" applyProtection="0"/>
    <xf numFmtId="204" fontId="42" fillId="0" borderId="0" applyFont="0" applyFill="0" applyBorder="0" applyAlignment="0" applyProtection="0"/>
    <xf numFmtId="169" fontId="42" fillId="0" borderId="0" applyFont="0" applyFill="0" applyBorder="0" applyAlignment="0" applyProtection="0"/>
    <xf numFmtId="201" fontId="42" fillId="0" borderId="0" applyFont="0" applyFill="0" applyBorder="0" applyAlignment="0" applyProtection="0"/>
    <xf numFmtId="203" fontId="42" fillId="0" borderId="0" applyFont="0" applyFill="0" applyBorder="0" applyAlignment="0" applyProtection="0"/>
    <xf numFmtId="201"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204" fontId="42" fillId="0" borderId="0" applyFont="0" applyFill="0" applyBorder="0" applyAlignment="0" applyProtection="0"/>
    <xf numFmtId="180" fontId="42" fillId="0" borderId="0" applyFont="0" applyFill="0" applyBorder="0" applyAlignment="0" applyProtection="0"/>
    <xf numFmtId="169" fontId="42" fillId="0" borderId="0" applyFont="0" applyFill="0" applyBorder="0" applyAlignment="0" applyProtection="0"/>
    <xf numFmtId="180" fontId="42" fillId="0" borderId="0" applyFont="0" applyFill="0" applyBorder="0" applyAlignment="0" applyProtection="0"/>
    <xf numFmtId="201" fontId="42" fillId="0" borderId="0" applyFont="0" applyFill="0" applyBorder="0" applyAlignment="0" applyProtection="0"/>
    <xf numFmtId="180" fontId="42" fillId="0" borderId="0" applyFont="0" applyFill="0" applyBorder="0" applyAlignment="0" applyProtection="0"/>
    <xf numFmtId="201" fontId="42" fillId="0" borderId="0" applyFont="0" applyFill="0" applyBorder="0" applyAlignment="0" applyProtection="0"/>
    <xf numFmtId="205" fontId="42" fillId="0" borderId="0" applyFont="0" applyFill="0" applyBorder="0" applyAlignment="0" applyProtection="0"/>
    <xf numFmtId="206" fontId="42" fillId="0" borderId="0" applyFont="0" applyFill="0" applyBorder="0" applyAlignment="0" applyProtection="0"/>
    <xf numFmtId="175" fontId="37" fillId="0" borderId="0" applyFont="0" applyFill="0" applyBorder="0" applyAlignment="0" applyProtection="0"/>
    <xf numFmtId="204" fontId="42"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203" fontId="42" fillId="0" borderId="0" applyFont="0" applyFill="0" applyBorder="0" applyAlignment="0" applyProtection="0"/>
    <xf numFmtId="201" fontId="42" fillId="0" borderId="0" applyFont="0" applyFill="0" applyBorder="0" applyAlignment="0" applyProtection="0"/>
    <xf numFmtId="197" fontId="42" fillId="0" borderId="0" applyFont="0" applyFill="0" applyBorder="0" applyAlignment="0" applyProtection="0"/>
    <xf numFmtId="172" fontId="42" fillId="0" borderId="0" applyFont="0" applyFill="0" applyBorder="0" applyAlignment="0" applyProtection="0"/>
    <xf numFmtId="167" fontId="42" fillId="0" borderId="0" applyFont="0" applyFill="0" applyBorder="0" applyAlignment="0" applyProtection="0"/>
    <xf numFmtId="193" fontId="42" fillId="0" borderId="0" applyFont="0" applyFill="0" applyBorder="0" applyAlignment="0" applyProtection="0"/>
    <xf numFmtId="41" fontId="42" fillId="0" borderId="0" applyFont="0" applyFill="0" applyBorder="0" applyAlignment="0" applyProtection="0"/>
    <xf numFmtId="211" fontId="42" fillId="0" borderId="0" applyFont="0" applyFill="0" applyBorder="0" applyAlignment="0" applyProtection="0"/>
    <xf numFmtId="212" fontId="42" fillId="0" borderId="0" applyFont="0" applyFill="0" applyBorder="0" applyAlignment="0" applyProtection="0"/>
    <xf numFmtId="197" fontId="42" fillId="0" borderId="0" applyFont="0" applyFill="0" applyBorder="0" applyAlignment="0" applyProtection="0"/>
    <xf numFmtId="212" fontId="42" fillId="0" borderId="0" applyFont="0" applyFill="0" applyBorder="0" applyAlignment="0" applyProtection="0"/>
    <xf numFmtId="41" fontId="42" fillId="0" borderId="0" applyFont="0" applyFill="0" applyBorder="0" applyAlignment="0" applyProtection="0"/>
    <xf numFmtId="213" fontId="42" fillId="0" borderId="0" applyFont="0" applyFill="0" applyBorder="0" applyAlignment="0" applyProtection="0"/>
    <xf numFmtId="167" fontId="42" fillId="0" borderId="0" applyFont="0" applyFill="0" applyBorder="0" applyAlignment="0" applyProtection="0"/>
    <xf numFmtId="193" fontId="42" fillId="0" borderId="0" applyFont="0" applyFill="0" applyBorder="0" applyAlignment="0" applyProtection="0"/>
    <xf numFmtId="193" fontId="42" fillId="0" borderId="0" applyFont="0" applyFill="0" applyBorder="0" applyAlignment="0" applyProtection="0"/>
    <xf numFmtId="193" fontId="42" fillId="0" borderId="0" applyFont="0" applyFill="0" applyBorder="0" applyAlignment="0" applyProtection="0"/>
    <xf numFmtId="167" fontId="42" fillId="0" borderId="0" applyFont="0" applyFill="0" applyBorder="0" applyAlignment="0" applyProtection="0"/>
    <xf numFmtId="197" fontId="42" fillId="0" borderId="0" applyFont="0" applyFill="0" applyBorder="0" applyAlignment="0" applyProtection="0"/>
    <xf numFmtId="214"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93" fontId="42" fillId="0" borderId="0" applyFont="0" applyFill="0" applyBorder="0" applyAlignment="0" applyProtection="0"/>
    <xf numFmtId="212" fontId="42" fillId="0" borderId="0" applyFont="0" applyFill="0" applyBorder="0" applyAlignment="0" applyProtection="0"/>
    <xf numFmtId="167" fontId="42" fillId="0" borderId="0" applyFont="0" applyFill="0" applyBorder="0" applyAlignment="0" applyProtection="0"/>
    <xf numFmtId="211" fontId="42" fillId="0" borderId="0" applyFont="0" applyFill="0" applyBorder="0" applyAlignment="0" applyProtection="0"/>
    <xf numFmtId="41" fontId="42" fillId="0" borderId="0" applyFont="0" applyFill="0" applyBorder="0" applyAlignment="0" applyProtection="0"/>
    <xf numFmtId="41" fontId="42" fillId="0" borderId="0" applyFont="0" applyFill="0" applyBorder="0" applyAlignment="0" applyProtection="0"/>
    <xf numFmtId="41" fontId="42" fillId="0" borderId="0" applyFont="0" applyFill="0" applyBorder="0" applyAlignment="0" applyProtection="0"/>
    <xf numFmtId="41" fontId="42" fillId="0" borderId="0" applyFont="0" applyFill="0" applyBorder="0" applyAlignment="0" applyProtection="0"/>
    <xf numFmtId="193" fontId="42" fillId="0" borderId="0" applyFont="0" applyFill="0" applyBorder="0" applyAlignment="0" applyProtection="0"/>
    <xf numFmtId="41" fontId="42" fillId="0" borderId="0" applyFont="0" applyFill="0" applyBorder="0" applyAlignment="0" applyProtection="0"/>
    <xf numFmtId="197" fontId="42" fillId="0" borderId="0" applyFont="0" applyFill="0" applyBorder="0" applyAlignment="0" applyProtection="0"/>
    <xf numFmtId="197" fontId="37" fillId="0" borderId="0" applyFont="0" applyFill="0" applyBorder="0" applyAlignment="0" applyProtection="0"/>
    <xf numFmtId="193" fontId="42" fillId="0" borderId="0" applyFont="0" applyFill="0" applyBorder="0" applyAlignment="0" applyProtection="0"/>
    <xf numFmtId="193" fontId="42" fillId="0" borderId="0" applyFont="0" applyFill="0" applyBorder="0" applyAlignment="0" applyProtection="0"/>
    <xf numFmtId="193" fontId="42" fillId="0" borderId="0" applyFont="0" applyFill="0" applyBorder="0" applyAlignment="0" applyProtection="0"/>
    <xf numFmtId="213" fontId="42" fillId="0" borderId="0" applyFont="0" applyFill="0" applyBorder="0" applyAlignment="0" applyProtection="0"/>
    <xf numFmtId="197" fontId="42" fillId="0" borderId="0" applyFont="0" applyFill="0" applyBorder="0" applyAlignment="0" applyProtection="0"/>
    <xf numFmtId="215" fontId="42" fillId="0" borderId="0" applyFont="0" applyFill="0" applyBorder="0" applyAlignment="0" applyProtection="0"/>
    <xf numFmtId="197" fontId="42" fillId="0" borderId="0" applyFont="0" applyFill="0" applyBorder="0" applyAlignment="0" applyProtection="0"/>
    <xf numFmtId="214"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41" fontId="42" fillId="0" borderId="0" applyFont="0" applyFill="0" applyBorder="0" applyAlignment="0" applyProtection="0"/>
    <xf numFmtId="167" fontId="42" fillId="0" borderId="0" applyFont="0" applyFill="0" applyBorder="0" applyAlignment="0" applyProtection="0"/>
    <xf numFmtId="193" fontId="42" fillId="0" borderId="0" applyFont="0" applyFill="0" applyBorder="0" applyAlignment="0" applyProtection="0"/>
    <xf numFmtId="167" fontId="42" fillId="0" borderId="0" applyFont="0" applyFill="0" applyBorder="0" applyAlignment="0" applyProtection="0"/>
    <xf numFmtId="193" fontId="42" fillId="0" borderId="0" applyFont="0" applyFill="0" applyBorder="0" applyAlignment="0" applyProtection="0"/>
    <xf numFmtId="167" fontId="42" fillId="0" borderId="0" applyFont="0" applyFill="0" applyBorder="0" applyAlignment="0" applyProtection="0"/>
    <xf numFmtId="197" fontId="42" fillId="0" borderId="0" applyFont="0" applyFill="0" applyBorder="0" applyAlignment="0" applyProtection="0"/>
    <xf numFmtId="193" fontId="42" fillId="0" borderId="0" applyFont="0" applyFill="0" applyBorder="0" applyAlignment="0" applyProtection="0"/>
    <xf numFmtId="167" fontId="42" fillId="0" borderId="0" applyFont="0" applyFill="0" applyBorder="0" applyAlignment="0" applyProtection="0"/>
    <xf numFmtId="197" fontId="42" fillId="0" borderId="0" applyFont="0" applyFill="0" applyBorder="0" applyAlignment="0" applyProtection="0"/>
    <xf numFmtId="167" fontId="42" fillId="0" borderId="0" applyFont="0" applyFill="0" applyBorder="0" applyAlignment="0" applyProtection="0"/>
    <xf numFmtId="193" fontId="42" fillId="0" borderId="0" applyFont="0" applyFill="0" applyBorder="0" applyAlignment="0" applyProtection="0"/>
    <xf numFmtId="214" fontId="42" fillId="0" borderId="0" applyFont="0" applyFill="0" applyBorder="0" applyAlignment="0" applyProtection="0"/>
    <xf numFmtId="41" fontId="42" fillId="0" borderId="0" applyFont="0" applyFill="0" applyBorder="0" applyAlignment="0" applyProtection="0"/>
    <xf numFmtId="214" fontId="42" fillId="0" borderId="0" applyFont="0" applyFill="0" applyBorder="0" applyAlignment="0" applyProtection="0"/>
    <xf numFmtId="167" fontId="42" fillId="0" borderId="0" applyFont="0" applyFill="0" applyBorder="0" applyAlignment="0" applyProtection="0"/>
    <xf numFmtId="197" fontId="42" fillId="0" borderId="0" applyFont="0" applyFill="0" applyBorder="0" applyAlignment="0" applyProtection="0"/>
    <xf numFmtId="213" fontId="42" fillId="0" borderId="0" applyFont="0" applyFill="0" applyBorder="0" applyAlignment="0" applyProtection="0"/>
    <xf numFmtId="197" fontId="42" fillId="0" borderId="0" applyFont="0" applyFill="0" applyBorder="0" applyAlignment="0" applyProtection="0"/>
    <xf numFmtId="167" fontId="42" fillId="0" borderId="0" applyFont="0" applyFill="0" applyBorder="0" applyAlignment="0" applyProtection="0"/>
    <xf numFmtId="193" fontId="42" fillId="0" borderId="0" applyFont="0" applyFill="0" applyBorder="0" applyAlignment="0" applyProtection="0"/>
    <xf numFmtId="214" fontId="42" fillId="0" borderId="0" applyFont="0" applyFill="0" applyBorder="0" applyAlignment="0" applyProtection="0"/>
    <xf numFmtId="212" fontId="42" fillId="0" borderId="0" applyFont="0" applyFill="0" applyBorder="0" applyAlignment="0" applyProtection="0"/>
    <xf numFmtId="167" fontId="42" fillId="0" borderId="0" applyFont="0" applyFill="0" applyBorder="0" applyAlignment="0" applyProtection="0"/>
    <xf numFmtId="212" fontId="42" fillId="0" borderId="0" applyFont="0" applyFill="0" applyBorder="0" applyAlignment="0" applyProtection="0"/>
    <xf numFmtId="197" fontId="42" fillId="0" borderId="0" applyFont="0" applyFill="0" applyBorder="0" applyAlignment="0" applyProtection="0"/>
    <xf numFmtId="212" fontId="42" fillId="0" borderId="0" applyFont="0" applyFill="0" applyBorder="0" applyAlignment="0" applyProtection="0"/>
    <xf numFmtId="197" fontId="42" fillId="0" borderId="0" applyFont="0" applyFill="0" applyBorder="0" applyAlignment="0" applyProtection="0"/>
    <xf numFmtId="216" fontId="42" fillId="0" borderId="0" applyFont="0" applyFill="0" applyBorder="0" applyAlignment="0" applyProtection="0"/>
    <xf numFmtId="217" fontId="42" fillId="0" borderId="0" applyFont="0" applyFill="0" applyBorder="0" applyAlignment="0" applyProtection="0"/>
    <xf numFmtId="214"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213" fontId="42" fillId="0" borderId="0" applyFont="0" applyFill="0" applyBorder="0" applyAlignment="0" applyProtection="0"/>
    <xf numFmtId="197" fontId="42" fillId="0" borderId="0" applyFont="0" applyFill="0" applyBorder="0" applyAlignment="0" applyProtection="0"/>
    <xf numFmtId="195"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99"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99" fontId="42" fillId="0" borderId="0" applyFont="0" applyFill="0" applyBorder="0" applyAlignment="0" applyProtection="0"/>
    <xf numFmtId="188" fontId="37" fillId="0" borderId="0" applyFont="0" applyFill="0" applyBorder="0" applyAlignment="0" applyProtection="0"/>
    <xf numFmtId="171" fontId="42" fillId="0" borderId="0" applyFont="0" applyFill="0" applyBorder="0" applyAlignment="0" applyProtection="0"/>
    <xf numFmtId="198" fontId="42" fillId="0" borderId="0" applyFont="0" applyFill="0" applyBorder="0" applyAlignment="0" applyProtection="0"/>
    <xf numFmtId="198" fontId="42" fillId="0" borderId="0" applyFont="0" applyFill="0" applyBorder="0" applyAlignment="0" applyProtection="0"/>
    <xf numFmtId="198" fontId="42" fillId="0" borderId="0" applyFont="0" applyFill="0" applyBorder="0" applyAlignment="0" applyProtection="0"/>
    <xf numFmtId="195" fontId="42" fillId="0" borderId="0" applyFont="0" applyFill="0" applyBorder="0" applyAlignment="0" applyProtection="0"/>
    <xf numFmtId="199"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99" fontId="42" fillId="0" borderId="0" applyFont="0" applyFill="0" applyBorder="0" applyAlignment="0" applyProtection="0"/>
    <xf numFmtId="166" fontId="42" fillId="0" borderId="0" applyFont="0" applyFill="0" applyBorder="0" applyAlignment="0" applyProtection="0"/>
    <xf numFmtId="199"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95" fontId="42" fillId="0" borderId="0" applyFont="0" applyFill="0" applyBorder="0" applyAlignment="0" applyProtection="0"/>
    <xf numFmtId="166" fontId="42" fillId="0" borderId="0" applyFont="0" applyFill="0" applyBorder="0" applyAlignment="0" applyProtection="0"/>
    <xf numFmtId="171"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99" fontId="42" fillId="0" borderId="0" applyFont="0" applyFill="0" applyBorder="0" applyAlignment="0" applyProtection="0"/>
    <xf numFmtId="188" fontId="42" fillId="0" borderId="0" applyFont="0" applyFill="0" applyBorder="0" applyAlignment="0" applyProtection="0"/>
    <xf numFmtId="207" fontId="42" fillId="0" borderId="0" applyFont="0" applyFill="0" applyBorder="0" applyAlignment="0" applyProtection="0"/>
    <xf numFmtId="207" fontId="42" fillId="0" borderId="0" applyFont="0" applyFill="0" applyBorder="0" applyAlignment="0" applyProtection="0"/>
    <xf numFmtId="207" fontId="42" fillId="0" borderId="0" applyFont="0" applyFill="0" applyBorder="0" applyAlignment="0" applyProtection="0"/>
    <xf numFmtId="207" fontId="42" fillId="0" borderId="0" applyFont="0" applyFill="0" applyBorder="0" applyAlignment="0" applyProtection="0"/>
    <xf numFmtId="188" fontId="37" fillId="0" borderId="0" applyFont="0" applyFill="0" applyBorder="0" applyAlignment="0" applyProtection="0"/>
    <xf numFmtId="208" fontId="55" fillId="0" borderId="0" applyFont="0" applyFill="0" applyBorder="0" applyAlignment="0" applyProtection="0"/>
    <xf numFmtId="209" fontId="42" fillId="0" borderId="0" applyFont="0" applyFill="0" applyBorder="0" applyAlignment="0" applyProtection="0"/>
    <xf numFmtId="207" fontId="42" fillId="0" borderId="0" applyFont="0" applyFill="0" applyBorder="0" applyAlignment="0" applyProtection="0"/>
    <xf numFmtId="207" fontId="42" fillId="0" borderId="0" applyFont="0" applyFill="0" applyBorder="0" applyAlignment="0" applyProtection="0"/>
    <xf numFmtId="207" fontId="42" fillId="0" borderId="0" applyFont="0" applyFill="0" applyBorder="0" applyAlignment="0" applyProtection="0"/>
    <xf numFmtId="207" fontId="42" fillId="0" borderId="0" applyFont="0" applyFill="0" applyBorder="0" applyAlignment="0" applyProtection="0"/>
    <xf numFmtId="188" fontId="42" fillId="0" borderId="0" applyFont="0" applyFill="0" applyBorder="0" applyAlignment="0" applyProtection="0"/>
    <xf numFmtId="210" fontId="42" fillId="0" borderId="0" applyFont="0" applyFill="0" applyBorder="0" applyAlignment="0" applyProtection="0"/>
    <xf numFmtId="193" fontId="37" fillId="0" borderId="0" applyFont="0" applyFill="0" applyBorder="0" applyAlignment="0" applyProtection="0"/>
    <xf numFmtId="199" fontId="42" fillId="0" borderId="0" applyFont="0" applyFill="0" applyBorder="0" applyAlignment="0" applyProtection="0"/>
    <xf numFmtId="166" fontId="42" fillId="0" borderId="0" applyFont="0" applyFill="0" applyBorder="0" applyAlignment="0" applyProtection="0"/>
    <xf numFmtId="195" fontId="42" fillId="0" borderId="0" applyFont="0" applyFill="0" applyBorder="0" applyAlignment="0" applyProtection="0"/>
    <xf numFmtId="166" fontId="42" fillId="0" borderId="0" applyFont="0" applyFill="0" applyBorder="0" applyAlignment="0" applyProtection="0"/>
    <xf numFmtId="175" fontId="37" fillId="0" borderId="0" applyFont="0" applyFill="0" applyBorder="0" applyAlignment="0" applyProtection="0"/>
    <xf numFmtId="197" fontId="42" fillId="0" borderId="0" applyFont="0" applyFill="0" applyBorder="0" applyAlignment="0" applyProtection="0"/>
    <xf numFmtId="172" fontId="42" fillId="0" borderId="0" applyFont="0" applyFill="0" applyBorder="0" applyAlignment="0" applyProtection="0"/>
    <xf numFmtId="167" fontId="42" fillId="0" borderId="0" applyFont="0" applyFill="0" applyBorder="0" applyAlignment="0" applyProtection="0"/>
    <xf numFmtId="193" fontId="42" fillId="0" borderId="0" applyFont="0" applyFill="0" applyBorder="0" applyAlignment="0" applyProtection="0"/>
    <xf numFmtId="41" fontId="42" fillId="0" borderId="0" applyFont="0" applyFill="0" applyBorder="0" applyAlignment="0" applyProtection="0"/>
    <xf numFmtId="211" fontId="42" fillId="0" borderId="0" applyFont="0" applyFill="0" applyBorder="0" applyAlignment="0" applyProtection="0"/>
    <xf numFmtId="212" fontId="42" fillId="0" borderId="0" applyFont="0" applyFill="0" applyBorder="0" applyAlignment="0" applyProtection="0"/>
    <xf numFmtId="197" fontId="42" fillId="0" borderId="0" applyFont="0" applyFill="0" applyBorder="0" applyAlignment="0" applyProtection="0"/>
    <xf numFmtId="212" fontId="42" fillId="0" borderId="0" applyFont="0" applyFill="0" applyBorder="0" applyAlignment="0" applyProtection="0"/>
    <xf numFmtId="41" fontId="42" fillId="0" borderId="0" applyFont="0" applyFill="0" applyBorder="0" applyAlignment="0" applyProtection="0"/>
    <xf numFmtId="213" fontId="42" fillId="0" borderId="0" applyFont="0" applyFill="0" applyBorder="0" applyAlignment="0" applyProtection="0"/>
    <xf numFmtId="167" fontId="42" fillId="0" borderId="0" applyFont="0" applyFill="0" applyBorder="0" applyAlignment="0" applyProtection="0"/>
    <xf numFmtId="193" fontId="42" fillId="0" borderId="0" applyFont="0" applyFill="0" applyBorder="0" applyAlignment="0" applyProtection="0"/>
    <xf numFmtId="193" fontId="42" fillId="0" borderId="0" applyFont="0" applyFill="0" applyBorder="0" applyAlignment="0" applyProtection="0"/>
    <xf numFmtId="193" fontId="42" fillId="0" borderId="0" applyFont="0" applyFill="0" applyBorder="0" applyAlignment="0" applyProtection="0"/>
    <xf numFmtId="167" fontId="42" fillId="0" borderId="0" applyFont="0" applyFill="0" applyBorder="0" applyAlignment="0" applyProtection="0"/>
    <xf numFmtId="197" fontId="42" fillId="0" borderId="0" applyFont="0" applyFill="0" applyBorder="0" applyAlignment="0" applyProtection="0"/>
    <xf numFmtId="214"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93" fontId="42" fillId="0" borderId="0" applyFont="0" applyFill="0" applyBorder="0" applyAlignment="0" applyProtection="0"/>
    <xf numFmtId="212" fontId="42" fillId="0" borderId="0" applyFont="0" applyFill="0" applyBorder="0" applyAlignment="0" applyProtection="0"/>
    <xf numFmtId="167" fontId="42" fillId="0" borderId="0" applyFont="0" applyFill="0" applyBorder="0" applyAlignment="0" applyProtection="0"/>
    <xf numFmtId="211" fontId="42" fillId="0" borderId="0" applyFont="0" applyFill="0" applyBorder="0" applyAlignment="0" applyProtection="0"/>
    <xf numFmtId="41" fontId="42" fillId="0" borderId="0" applyFont="0" applyFill="0" applyBorder="0" applyAlignment="0" applyProtection="0"/>
    <xf numFmtId="41" fontId="42" fillId="0" borderId="0" applyFont="0" applyFill="0" applyBorder="0" applyAlignment="0" applyProtection="0"/>
    <xf numFmtId="41" fontId="42" fillId="0" borderId="0" applyFont="0" applyFill="0" applyBorder="0" applyAlignment="0" applyProtection="0"/>
    <xf numFmtId="41" fontId="42" fillId="0" borderId="0" applyFont="0" applyFill="0" applyBorder="0" applyAlignment="0" applyProtection="0"/>
    <xf numFmtId="193" fontId="42" fillId="0" borderId="0" applyFont="0" applyFill="0" applyBorder="0" applyAlignment="0" applyProtection="0"/>
    <xf numFmtId="41" fontId="42" fillId="0" borderId="0" applyFont="0" applyFill="0" applyBorder="0" applyAlignment="0" applyProtection="0"/>
    <xf numFmtId="197" fontId="42" fillId="0" borderId="0" applyFont="0" applyFill="0" applyBorder="0" applyAlignment="0" applyProtection="0"/>
    <xf numFmtId="197" fontId="37" fillId="0" borderId="0" applyFont="0" applyFill="0" applyBorder="0" applyAlignment="0" applyProtection="0"/>
    <xf numFmtId="193" fontId="42" fillId="0" borderId="0" applyFont="0" applyFill="0" applyBorder="0" applyAlignment="0" applyProtection="0"/>
    <xf numFmtId="193" fontId="42" fillId="0" borderId="0" applyFont="0" applyFill="0" applyBorder="0" applyAlignment="0" applyProtection="0"/>
    <xf numFmtId="193" fontId="42" fillId="0" borderId="0" applyFont="0" applyFill="0" applyBorder="0" applyAlignment="0" applyProtection="0"/>
    <xf numFmtId="213" fontId="42" fillId="0" borderId="0" applyFont="0" applyFill="0" applyBorder="0" applyAlignment="0" applyProtection="0"/>
    <xf numFmtId="197" fontId="42" fillId="0" borderId="0" applyFont="0" applyFill="0" applyBorder="0" applyAlignment="0" applyProtection="0"/>
    <xf numFmtId="215" fontId="42" fillId="0" borderId="0" applyFont="0" applyFill="0" applyBorder="0" applyAlignment="0" applyProtection="0"/>
    <xf numFmtId="197" fontId="42" fillId="0" borderId="0" applyFont="0" applyFill="0" applyBorder="0" applyAlignment="0" applyProtection="0"/>
    <xf numFmtId="214"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41" fontId="42" fillId="0" borderId="0" applyFont="0" applyFill="0" applyBorder="0" applyAlignment="0" applyProtection="0"/>
    <xf numFmtId="167" fontId="42" fillId="0" borderId="0" applyFont="0" applyFill="0" applyBorder="0" applyAlignment="0" applyProtection="0"/>
    <xf numFmtId="193" fontId="42" fillId="0" borderId="0" applyFont="0" applyFill="0" applyBorder="0" applyAlignment="0" applyProtection="0"/>
    <xf numFmtId="167" fontId="42" fillId="0" borderId="0" applyFont="0" applyFill="0" applyBorder="0" applyAlignment="0" applyProtection="0"/>
    <xf numFmtId="193" fontId="42" fillId="0" borderId="0" applyFont="0" applyFill="0" applyBorder="0" applyAlignment="0" applyProtection="0"/>
    <xf numFmtId="167" fontId="42" fillId="0" borderId="0" applyFont="0" applyFill="0" applyBorder="0" applyAlignment="0" applyProtection="0"/>
    <xf numFmtId="197" fontId="42" fillId="0" borderId="0" applyFont="0" applyFill="0" applyBorder="0" applyAlignment="0" applyProtection="0"/>
    <xf numFmtId="193" fontId="42" fillId="0" borderId="0" applyFont="0" applyFill="0" applyBorder="0" applyAlignment="0" applyProtection="0"/>
    <xf numFmtId="167" fontId="42" fillId="0" borderId="0" applyFont="0" applyFill="0" applyBorder="0" applyAlignment="0" applyProtection="0"/>
    <xf numFmtId="197" fontId="42" fillId="0" borderId="0" applyFont="0" applyFill="0" applyBorder="0" applyAlignment="0" applyProtection="0"/>
    <xf numFmtId="167" fontId="42" fillId="0" borderId="0" applyFont="0" applyFill="0" applyBorder="0" applyAlignment="0" applyProtection="0"/>
    <xf numFmtId="193" fontId="42" fillId="0" borderId="0" applyFont="0" applyFill="0" applyBorder="0" applyAlignment="0" applyProtection="0"/>
    <xf numFmtId="214" fontId="42" fillId="0" borderId="0" applyFont="0" applyFill="0" applyBorder="0" applyAlignment="0" applyProtection="0"/>
    <xf numFmtId="41" fontId="42" fillId="0" borderId="0" applyFont="0" applyFill="0" applyBorder="0" applyAlignment="0" applyProtection="0"/>
    <xf numFmtId="214" fontId="42" fillId="0" borderId="0" applyFont="0" applyFill="0" applyBorder="0" applyAlignment="0" applyProtection="0"/>
    <xf numFmtId="167" fontId="42" fillId="0" borderId="0" applyFont="0" applyFill="0" applyBorder="0" applyAlignment="0" applyProtection="0"/>
    <xf numFmtId="197" fontId="42" fillId="0" borderId="0" applyFont="0" applyFill="0" applyBorder="0" applyAlignment="0" applyProtection="0"/>
    <xf numFmtId="213" fontId="42" fillId="0" borderId="0" applyFont="0" applyFill="0" applyBorder="0" applyAlignment="0" applyProtection="0"/>
    <xf numFmtId="197" fontId="42" fillId="0" borderId="0" applyFont="0" applyFill="0" applyBorder="0" applyAlignment="0" applyProtection="0"/>
    <xf numFmtId="167" fontId="42" fillId="0" borderId="0" applyFont="0" applyFill="0" applyBorder="0" applyAlignment="0" applyProtection="0"/>
    <xf numFmtId="193" fontId="42" fillId="0" borderId="0" applyFont="0" applyFill="0" applyBorder="0" applyAlignment="0" applyProtection="0"/>
    <xf numFmtId="214" fontId="42" fillId="0" borderId="0" applyFont="0" applyFill="0" applyBorder="0" applyAlignment="0" applyProtection="0"/>
    <xf numFmtId="212" fontId="42" fillId="0" borderId="0" applyFont="0" applyFill="0" applyBorder="0" applyAlignment="0" applyProtection="0"/>
    <xf numFmtId="167" fontId="42" fillId="0" borderId="0" applyFont="0" applyFill="0" applyBorder="0" applyAlignment="0" applyProtection="0"/>
    <xf numFmtId="212" fontId="42" fillId="0" borderId="0" applyFont="0" applyFill="0" applyBorder="0" applyAlignment="0" applyProtection="0"/>
    <xf numFmtId="197" fontId="42" fillId="0" borderId="0" applyFont="0" applyFill="0" applyBorder="0" applyAlignment="0" applyProtection="0"/>
    <xf numFmtId="212" fontId="42" fillId="0" borderId="0" applyFont="0" applyFill="0" applyBorder="0" applyAlignment="0" applyProtection="0"/>
    <xf numFmtId="197" fontId="42" fillId="0" borderId="0" applyFont="0" applyFill="0" applyBorder="0" applyAlignment="0" applyProtection="0"/>
    <xf numFmtId="216" fontId="42" fillId="0" borderId="0" applyFont="0" applyFill="0" applyBorder="0" applyAlignment="0" applyProtection="0"/>
    <xf numFmtId="217" fontId="42" fillId="0" borderId="0" applyFont="0" applyFill="0" applyBorder="0" applyAlignment="0" applyProtection="0"/>
    <xf numFmtId="214"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213" fontId="42" fillId="0" borderId="0" applyFont="0" applyFill="0" applyBorder="0" applyAlignment="0" applyProtection="0"/>
    <xf numFmtId="197" fontId="42" fillId="0" borderId="0" applyFont="0" applyFill="0" applyBorder="0" applyAlignment="0" applyProtection="0"/>
    <xf numFmtId="201" fontId="42" fillId="0" borderId="0" applyFont="0" applyFill="0" applyBorder="0" applyAlignment="0" applyProtection="0"/>
    <xf numFmtId="174"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43" fontId="42" fillId="0" borderId="0" applyFont="0" applyFill="0" applyBorder="0" applyAlignment="0" applyProtection="0"/>
    <xf numFmtId="202" fontId="42" fillId="0" borderId="0" applyFont="0" applyFill="0" applyBorder="0" applyAlignment="0" applyProtection="0"/>
    <xf numFmtId="180" fontId="42" fillId="0" borderId="0" applyFont="0" applyFill="0" applyBorder="0" applyAlignment="0" applyProtection="0"/>
    <xf numFmtId="201" fontId="42" fillId="0" borderId="0" applyFont="0" applyFill="0" applyBorder="0" applyAlignment="0" applyProtection="0"/>
    <xf numFmtId="180" fontId="42" fillId="0" borderId="0" applyFont="0" applyFill="0" applyBorder="0" applyAlignment="0" applyProtection="0"/>
    <xf numFmtId="43" fontId="42" fillId="0" borderId="0" applyFont="0" applyFill="0" applyBorder="0" applyAlignment="0" applyProtection="0"/>
    <xf numFmtId="203"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175" fontId="42" fillId="0" borderId="0" applyFont="0" applyFill="0" applyBorder="0" applyAlignment="0" applyProtection="0"/>
    <xf numFmtId="175" fontId="42" fillId="0" borderId="0" applyFont="0" applyFill="0" applyBorder="0" applyAlignment="0" applyProtection="0"/>
    <xf numFmtId="169" fontId="42" fillId="0" borderId="0" applyFont="0" applyFill="0" applyBorder="0" applyAlignment="0" applyProtection="0"/>
    <xf numFmtId="201" fontId="42" fillId="0" borderId="0" applyFont="0" applyFill="0" applyBorder="0" applyAlignment="0" applyProtection="0"/>
    <xf numFmtId="204" fontId="42"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180" fontId="42" fillId="0" borderId="0" applyFont="0" applyFill="0" applyBorder="0" applyAlignment="0" applyProtection="0"/>
    <xf numFmtId="169" fontId="42" fillId="0" borderId="0" applyFont="0" applyFill="0" applyBorder="0" applyAlignment="0" applyProtection="0"/>
    <xf numFmtId="202"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75" fontId="42" fillId="0" borderId="0" applyFont="0" applyFill="0" applyBorder="0" applyAlignment="0" applyProtection="0"/>
    <xf numFmtId="43" fontId="42" fillId="0" borderId="0" applyFont="0" applyFill="0" applyBorder="0" applyAlignment="0" applyProtection="0"/>
    <xf numFmtId="201" fontId="42" fillId="0" borderId="0" applyFont="0" applyFill="0" applyBorder="0" applyAlignment="0" applyProtection="0"/>
    <xf numFmtId="0" fontId="42" fillId="0" borderId="0" applyFont="0" applyFill="0" applyBorder="0" applyAlignment="0" applyProtection="0"/>
    <xf numFmtId="175" fontId="42" fillId="0" borderId="0" applyFont="0" applyFill="0" applyBorder="0" applyAlignment="0" applyProtection="0"/>
    <xf numFmtId="175" fontId="42" fillId="0" borderId="0" applyFont="0" applyFill="0" applyBorder="0" applyAlignment="0" applyProtection="0"/>
    <xf numFmtId="175" fontId="42" fillId="0" borderId="0" applyFont="0" applyFill="0" applyBorder="0" applyAlignment="0" applyProtection="0"/>
    <xf numFmtId="203"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4"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43"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169" fontId="42" fillId="0" borderId="0" applyFont="0" applyFill="0" applyBorder="0" applyAlignment="0" applyProtection="0"/>
    <xf numFmtId="201" fontId="42" fillId="0" borderId="0" applyFont="0" applyFill="0" applyBorder="0" applyAlignment="0" applyProtection="0"/>
    <xf numFmtId="175" fontId="42" fillId="0" borderId="0" applyFont="0" applyFill="0" applyBorder="0" applyAlignment="0" applyProtection="0"/>
    <xf numFmtId="169" fontId="42" fillId="0" borderId="0" applyFont="0" applyFill="0" applyBorder="0" applyAlignment="0" applyProtection="0"/>
    <xf numFmtId="201"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204" fontId="42" fillId="0" borderId="0" applyFont="0" applyFill="0" applyBorder="0" applyAlignment="0" applyProtection="0"/>
    <xf numFmtId="43" fontId="42" fillId="0" borderId="0" applyFont="0" applyFill="0" applyBorder="0" applyAlignment="0" applyProtection="0"/>
    <xf numFmtId="204" fontId="42" fillId="0" borderId="0" applyFont="0" applyFill="0" applyBorder="0" applyAlignment="0" applyProtection="0"/>
    <xf numFmtId="169" fontId="42" fillId="0" borderId="0" applyFont="0" applyFill="0" applyBorder="0" applyAlignment="0" applyProtection="0"/>
    <xf numFmtId="201" fontId="42" fillId="0" borderId="0" applyFont="0" applyFill="0" applyBorder="0" applyAlignment="0" applyProtection="0"/>
    <xf numFmtId="203" fontId="42" fillId="0" borderId="0" applyFont="0" applyFill="0" applyBorder="0" applyAlignment="0" applyProtection="0"/>
    <xf numFmtId="201"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204" fontId="42" fillId="0" borderId="0" applyFont="0" applyFill="0" applyBorder="0" applyAlignment="0" applyProtection="0"/>
    <xf numFmtId="180" fontId="42" fillId="0" borderId="0" applyFont="0" applyFill="0" applyBorder="0" applyAlignment="0" applyProtection="0"/>
    <xf numFmtId="169" fontId="42" fillId="0" borderId="0" applyFont="0" applyFill="0" applyBorder="0" applyAlignment="0" applyProtection="0"/>
    <xf numFmtId="180" fontId="42" fillId="0" borderId="0" applyFont="0" applyFill="0" applyBorder="0" applyAlignment="0" applyProtection="0"/>
    <xf numFmtId="201" fontId="42" fillId="0" borderId="0" applyFont="0" applyFill="0" applyBorder="0" applyAlignment="0" applyProtection="0"/>
    <xf numFmtId="180" fontId="42" fillId="0" borderId="0" applyFont="0" applyFill="0" applyBorder="0" applyAlignment="0" applyProtection="0"/>
    <xf numFmtId="201" fontId="42" fillId="0" borderId="0" applyFont="0" applyFill="0" applyBorder="0" applyAlignment="0" applyProtection="0"/>
    <xf numFmtId="205" fontId="42" fillId="0" borderId="0" applyFont="0" applyFill="0" applyBorder="0" applyAlignment="0" applyProtection="0"/>
    <xf numFmtId="206" fontId="42" fillId="0" borderId="0" applyFont="0" applyFill="0" applyBorder="0" applyAlignment="0" applyProtection="0"/>
    <xf numFmtId="204" fontId="42"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203" fontId="42" fillId="0" borderId="0" applyFont="0" applyFill="0" applyBorder="0" applyAlignment="0" applyProtection="0"/>
    <xf numFmtId="201" fontId="42" fillId="0" borderId="0" applyFont="0" applyFill="0" applyBorder="0" applyAlignment="0" applyProtection="0"/>
    <xf numFmtId="193" fontId="37" fillId="0" borderId="0" applyFont="0" applyFill="0" applyBorder="0" applyAlignment="0" applyProtection="0"/>
    <xf numFmtId="196" fontId="37" fillId="0" borderId="0" applyFont="0" applyFill="0" applyBorder="0" applyAlignment="0" applyProtection="0"/>
    <xf numFmtId="200"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200"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87" fontId="37" fillId="0" borderId="0" applyFont="0" applyFill="0" applyBorder="0" applyAlignment="0" applyProtection="0"/>
    <xf numFmtId="166" fontId="42" fillId="0" borderId="0" applyFont="0" applyFill="0" applyBorder="0" applyAlignment="0" applyProtection="0"/>
    <xf numFmtId="171"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199" fontId="42" fillId="0" borderId="0" applyFont="0" applyFill="0" applyBorder="0" applyAlignment="0" applyProtection="0"/>
    <xf numFmtId="188" fontId="42" fillId="0" borderId="0" applyFont="0" applyFill="0" applyBorder="0" applyAlignment="0" applyProtection="0"/>
    <xf numFmtId="207" fontId="42" fillId="0" borderId="0" applyFont="0" applyFill="0" applyBorder="0" applyAlignment="0" applyProtection="0"/>
    <xf numFmtId="207" fontId="42" fillId="0" borderId="0" applyFont="0" applyFill="0" applyBorder="0" applyAlignment="0" applyProtection="0"/>
    <xf numFmtId="207" fontId="42" fillId="0" borderId="0" applyFont="0" applyFill="0" applyBorder="0" applyAlignment="0" applyProtection="0"/>
    <xf numFmtId="207" fontId="42" fillId="0" borderId="0" applyFont="0" applyFill="0" applyBorder="0" applyAlignment="0" applyProtection="0"/>
    <xf numFmtId="188" fontId="37" fillId="0" borderId="0" applyFont="0" applyFill="0" applyBorder="0" applyAlignment="0" applyProtection="0"/>
    <xf numFmtId="208" fontId="55" fillId="0" borderId="0" applyFont="0" applyFill="0" applyBorder="0" applyAlignment="0" applyProtection="0"/>
    <xf numFmtId="209" fontId="42" fillId="0" borderId="0" applyFont="0" applyFill="0" applyBorder="0" applyAlignment="0" applyProtection="0"/>
    <xf numFmtId="207" fontId="42" fillId="0" borderId="0" applyFont="0" applyFill="0" applyBorder="0" applyAlignment="0" applyProtection="0"/>
    <xf numFmtId="207" fontId="42" fillId="0" borderId="0" applyFont="0" applyFill="0" applyBorder="0" applyAlignment="0" applyProtection="0"/>
    <xf numFmtId="207" fontId="42" fillId="0" borderId="0" applyFont="0" applyFill="0" applyBorder="0" applyAlignment="0" applyProtection="0"/>
    <xf numFmtId="207" fontId="42" fillId="0" borderId="0" applyFont="0" applyFill="0" applyBorder="0" applyAlignment="0" applyProtection="0"/>
    <xf numFmtId="188" fontId="42" fillId="0" borderId="0" applyFont="0" applyFill="0" applyBorder="0" applyAlignment="0" applyProtection="0"/>
    <xf numFmtId="0" fontId="52" fillId="0" borderId="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52" fillId="0" borderId="0"/>
    <xf numFmtId="0" fontId="52" fillId="0" borderId="0"/>
    <xf numFmtId="171"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0" fontId="52" fillId="0" borderId="0"/>
    <xf numFmtId="210"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93" fontId="37" fillId="0" borderId="0" applyFont="0" applyFill="0" applyBorder="0" applyAlignment="0" applyProtection="0"/>
    <xf numFmtId="197" fontId="42" fillId="0" borderId="0" applyFont="0" applyFill="0" applyBorder="0" applyAlignment="0" applyProtection="0"/>
    <xf numFmtId="172" fontId="42" fillId="0" borderId="0" applyFont="0" applyFill="0" applyBorder="0" applyAlignment="0" applyProtection="0"/>
    <xf numFmtId="167" fontId="42" fillId="0" borderId="0" applyFont="0" applyFill="0" applyBorder="0" applyAlignment="0" applyProtection="0"/>
    <xf numFmtId="193" fontId="42" fillId="0" borderId="0" applyFont="0" applyFill="0" applyBorder="0" applyAlignment="0" applyProtection="0"/>
    <xf numFmtId="41" fontId="42" fillId="0" borderId="0" applyFont="0" applyFill="0" applyBorder="0" applyAlignment="0" applyProtection="0"/>
    <xf numFmtId="211" fontId="42" fillId="0" borderId="0" applyFont="0" applyFill="0" applyBorder="0" applyAlignment="0" applyProtection="0"/>
    <xf numFmtId="212" fontId="42" fillId="0" borderId="0" applyFont="0" applyFill="0" applyBorder="0" applyAlignment="0" applyProtection="0"/>
    <xf numFmtId="197" fontId="42" fillId="0" borderId="0" applyFont="0" applyFill="0" applyBorder="0" applyAlignment="0" applyProtection="0"/>
    <xf numFmtId="212" fontId="42" fillId="0" borderId="0" applyFont="0" applyFill="0" applyBorder="0" applyAlignment="0" applyProtection="0"/>
    <xf numFmtId="41" fontId="42" fillId="0" borderId="0" applyFont="0" applyFill="0" applyBorder="0" applyAlignment="0" applyProtection="0"/>
    <xf numFmtId="213" fontId="42" fillId="0" borderId="0" applyFont="0" applyFill="0" applyBorder="0" applyAlignment="0" applyProtection="0"/>
    <xf numFmtId="167" fontId="42" fillId="0" borderId="0" applyFont="0" applyFill="0" applyBorder="0" applyAlignment="0" applyProtection="0"/>
    <xf numFmtId="193" fontId="42" fillId="0" borderId="0" applyFont="0" applyFill="0" applyBorder="0" applyAlignment="0" applyProtection="0"/>
    <xf numFmtId="193" fontId="42" fillId="0" borderId="0" applyFont="0" applyFill="0" applyBorder="0" applyAlignment="0" applyProtection="0"/>
    <xf numFmtId="193" fontId="42" fillId="0" borderId="0" applyFont="0" applyFill="0" applyBorder="0" applyAlignment="0" applyProtection="0"/>
    <xf numFmtId="167" fontId="42" fillId="0" borderId="0" applyFont="0" applyFill="0" applyBorder="0" applyAlignment="0" applyProtection="0"/>
    <xf numFmtId="197" fontId="42" fillId="0" borderId="0" applyFont="0" applyFill="0" applyBorder="0" applyAlignment="0" applyProtection="0"/>
    <xf numFmtId="214"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93" fontId="42" fillId="0" borderId="0" applyFont="0" applyFill="0" applyBorder="0" applyAlignment="0" applyProtection="0"/>
    <xf numFmtId="212" fontId="42" fillId="0" borderId="0" applyFont="0" applyFill="0" applyBorder="0" applyAlignment="0" applyProtection="0"/>
    <xf numFmtId="167" fontId="42" fillId="0" borderId="0" applyFont="0" applyFill="0" applyBorder="0" applyAlignment="0" applyProtection="0"/>
    <xf numFmtId="211" fontId="42" fillId="0" borderId="0" applyFont="0" applyFill="0" applyBorder="0" applyAlignment="0" applyProtection="0"/>
    <xf numFmtId="41" fontId="42" fillId="0" borderId="0" applyFont="0" applyFill="0" applyBorder="0" applyAlignment="0" applyProtection="0"/>
    <xf numFmtId="41" fontId="42" fillId="0" borderId="0" applyFont="0" applyFill="0" applyBorder="0" applyAlignment="0" applyProtection="0"/>
    <xf numFmtId="41" fontId="42" fillId="0" borderId="0" applyFont="0" applyFill="0" applyBorder="0" applyAlignment="0" applyProtection="0"/>
    <xf numFmtId="41" fontId="42" fillId="0" borderId="0" applyFont="0" applyFill="0" applyBorder="0" applyAlignment="0" applyProtection="0"/>
    <xf numFmtId="193" fontId="42" fillId="0" borderId="0" applyFont="0" applyFill="0" applyBorder="0" applyAlignment="0" applyProtection="0"/>
    <xf numFmtId="41" fontId="42" fillId="0" borderId="0" applyFont="0" applyFill="0" applyBorder="0" applyAlignment="0" applyProtection="0"/>
    <xf numFmtId="197" fontId="42" fillId="0" borderId="0" applyFont="0" applyFill="0" applyBorder="0" applyAlignment="0" applyProtection="0"/>
    <xf numFmtId="197" fontId="37" fillId="0" borderId="0" applyFont="0" applyFill="0" applyBorder="0" applyAlignment="0" applyProtection="0"/>
    <xf numFmtId="193" fontId="42" fillId="0" borderId="0" applyFont="0" applyFill="0" applyBorder="0" applyAlignment="0" applyProtection="0"/>
    <xf numFmtId="193" fontId="42" fillId="0" borderId="0" applyFont="0" applyFill="0" applyBorder="0" applyAlignment="0" applyProtection="0"/>
    <xf numFmtId="193" fontId="42" fillId="0" borderId="0" applyFont="0" applyFill="0" applyBorder="0" applyAlignment="0" applyProtection="0"/>
    <xf numFmtId="213" fontId="42" fillId="0" borderId="0" applyFont="0" applyFill="0" applyBorder="0" applyAlignment="0" applyProtection="0"/>
    <xf numFmtId="197" fontId="42" fillId="0" borderId="0" applyFont="0" applyFill="0" applyBorder="0" applyAlignment="0" applyProtection="0"/>
    <xf numFmtId="215" fontId="42" fillId="0" borderId="0" applyFont="0" applyFill="0" applyBorder="0" applyAlignment="0" applyProtection="0"/>
    <xf numFmtId="197" fontId="42" fillId="0" borderId="0" applyFont="0" applyFill="0" applyBorder="0" applyAlignment="0" applyProtection="0"/>
    <xf numFmtId="214"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41" fontId="42" fillId="0" borderId="0" applyFont="0" applyFill="0" applyBorder="0" applyAlignment="0" applyProtection="0"/>
    <xf numFmtId="167" fontId="42" fillId="0" borderId="0" applyFont="0" applyFill="0" applyBorder="0" applyAlignment="0" applyProtection="0"/>
    <xf numFmtId="193" fontId="42" fillId="0" borderId="0" applyFont="0" applyFill="0" applyBorder="0" applyAlignment="0" applyProtection="0"/>
    <xf numFmtId="167" fontId="42" fillId="0" borderId="0" applyFont="0" applyFill="0" applyBorder="0" applyAlignment="0" applyProtection="0"/>
    <xf numFmtId="193" fontId="42" fillId="0" borderId="0" applyFont="0" applyFill="0" applyBorder="0" applyAlignment="0" applyProtection="0"/>
    <xf numFmtId="167" fontId="42" fillId="0" borderId="0" applyFont="0" applyFill="0" applyBorder="0" applyAlignment="0" applyProtection="0"/>
    <xf numFmtId="197" fontId="42" fillId="0" borderId="0" applyFont="0" applyFill="0" applyBorder="0" applyAlignment="0" applyProtection="0"/>
    <xf numFmtId="193" fontId="42" fillId="0" borderId="0" applyFont="0" applyFill="0" applyBorder="0" applyAlignment="0" applyProtection="0"/>
    <xf numFmtId="167" fontId="42" fillId="0" borderId="0" applyFont="0" applyFill="0" applyBorder="0" applyAlignment="0" applyProtection="0"/>
    <xf numFmtId="197" fontId="42" fillId="0" borderId="0" applyFont="0" applyFill="0" applyBorder="0" applyAlignment="0" applyProtection="0"/>
    <xf numFmtId="167" fontId="42" fillId="0" borderId="0" applyFont="0" applyFill="0" applyBorder="0" applyAlignment="0" applyProtection="0"/>
    <xf numFmtId="193" fontId="42" fillId="0" borderId="0" applyFont="0" applyFill="0" applyBorder="0" applyAlignment="0" applyProtection="0"/>
    <xf numFmtId="214" fontId="42" fillId="0" borderId="0" applyFont="0" applyFill="0" applyBorder="0" applyAlignment="0" applyProtection="0"/>
    <xf numFmtId="41" fontId="42" fillId="0" borderId="0" applyFont="0" applyFill="0" applyBorder="0" applyAlignment="0" applyProtection="0"/>
    <xf numFmtId="214" fontId="42" fillId="0" borderId="0" applyFont="0" applyFill="0" applyBorder="0" applyAlignment="0" applyProtection="0"/>
    <xf numFmtId="167" fontId="42" fillId="0" borderId="0" applyFont="0" applyFill="0" applyBorder="0" applyAlignment="0" applyProtection="0"/>
    <xf numFmtId="197" fontId="42" fillId="0" borderId="0" applyFont="0" applyFill="0" applyBorder="0" applyAlignment="0" applyProtection="0"/>
    <xf numFmtId="213" fontId="42" fillId="0" borderId="0" applyFont="0" applyFill="0" applyBorder="0" applyAlignment="0" applyProtection="0"/>
    <xf numFmtId="197" fontId="42" fillId="0" borderId="0" applyFont="0" applyFill="0" applyBorder="0" applyAlignment="0" applyProtection="0"/>
    <xf numFmtId="167" fontId="42" fillId="0" borderId="0" applyFont="0" applyFill="0" applyBorder="0" applyAlignment="0" applyProtection="0"/>
    <xf numFmtId="193" fontId="42" fillId="0" borderId="0" applyFont="0" applyFill="0" applyBorder="0" applyAlignment="0" applyProtection="0"/>
    <xf numFmtId="214" fontId="42" fillId="0" borderId="0" applyFont="0" applyFill="0" applyBorder="0" applyAlignment="0" applyProtection="0"/>
    <xf numFmtId="212" fontId="42" fillId="0" borderId="0" applyFont="0" applyFill="0" applyBorder="0" applyAlignment="0" applyProtection="0"/>
    <xf numFmtId="167" fontId="42" fillId="0" borderId="0" applyFont="0" applyFill="0" applyBorder="0" applyAlignment="0" applyProtection="0"/>
    <xf numFmtId="212" fontId="42" fillId="0" borderId="0" applyFont="0" applyFill="0" applyBorder="0" applyAlignment="0" applyProtection="0"/>
    <xf numFmtId="197" fontId="42" fillId="0" borderId="0" applyFont="0" applyFill="0" applyBorder="0" applyAlignment="0" applyProtection="0"/>
    <xf numFmtId="212" fontId="42" fillId="0" borderId="0" applyFont="0" applyFill="0" applyBorder="0" applyAlignment="0" applyProtection="0"/>
    <xf numFmtId="197" fontId="42" fillId="0" borderId="0" applyFont="0" applyFill="0" applyBorder="0" applyAlignment="0" applyProtection="0"/>
    <xf numFmtId="216" fontId="42" fillId="0" borderId="0" applyFont="0" applyFill="0" applyBorder="0" applyAlignment="0" applyProtection="0"/>
    <xf numFmtId="217" fontId="42" fillId="0" borderId="0" applyFont="0" applyFill="0" applyBorder="0" applyAlignment="0" applyProtection="0"/>
    <xf numFmtId="214"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213" fontId="42" fillId="0" borderId="0" applyFont="0" applyFill="0" applyBorder="0" applyAlignment="0" applyProtection="0"/>
    <xf numFmtId="197" fontId="42" fillId="0" borderId="0" applyFont="0" applyFill="0" applyBorder="0" applyAlignment="0" applyProtection="0"/>
    <xf numFmtId="201" fontId="42" fillId="0" borderId="0" applyFont="0" applyFill="0" applyBorder="0" applyAlignment="0" applyProtection="0"/>
    <xf numFmtId="174"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43" fontId="42" fillId="0" borderId="0" applyFont="0" applyFill="0" applyBorder="0" applyAlignment="0" applyProtection="0"/>
    <xf numFmtId="202" fontId="42" fillId="0" borderId="0" applyFont="0" applyFill="0" applyBorder="0" applyAlignment="0" applyProtection="0"/>
    <xf numFmtId="180" fontId="42" fillId="0" borderId="0" applyFont="0" applyFill="0" applyBorder="0" applyAlignment="0" applyProtection="0"/>
    <xf numFmtId="201" fontId="42" fillId="0" borderId="0" applyFont="0" applyFill="0" applyBorder="0" applyAlignment="0" applyProtection="0"/>
    <xf numFmtId="180" fontId="42" fillId="0" borderId="0" applyFont="0" applyFill="0" applyBorder="0" applyAlignment="0" applyProtection="0"/>
    <xf numFmtId="43" fontId="42" fillId="0" borderId="0" applyFont="0" applyFill="0" applyBorder="0" applyAlignment="0" applyProtection="0"/>
    <xf numFmtId="203"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175" fontId="42" fillId="0" borderId="0" applyFont="0" applyFill="0" applyBorder="0" applyAlignment="0" applyProtection="0"/>
    <xf numFmtId="175" fontId="42" fillId="0" borderId="0" applyFont="0" applyFill="0" applyBorder="0" applyAlignment="0" applyProtection="0"/>
    <xf numFmtId="169" fontId="42" fillId="0" borderId="0" applyFont="0" applyFill="0" applyBorder="0" applyAlignment="0" applyProtection="0"/>
    <xf numFmtId="201" fontId="42" fillId="0" borderId="0" applyFont="0" applyFill="0" applyBorder="0" applyAlignment="0" applyProtection="0"/>
    <xf numFmtId="204" fontId="42"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180" fontId="42" fillId="0" borderId="0" applyFont="0" applyFill="0" applyBorder="0" applyAlignment="0" applyProtection="0"/>
    <xf numFmtId="169" fontId="42" fillId="0" borderId="0" applyFont="0" applyFill="0" applyBorder="0" applyAlignment="0" applyProtection="0"/>
    <xf numFmtId="202"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75" fontId="42" fillId="0" borderId="0" applyFont="0" applyFill="0" applyBorder="0" applyAlignment="0" applyProtection="0"/>
    <xf numFmtId="43" fontId="42" fillId="0" borderId="0" applyFont="0" applyFill="0" applyBorder="0" applyAlignment="0" applyProtection="0"/>
    <xf numFmtId="201" fontId="42" fillId="0" borderId="0" applyFont="0" applyFill="0" applyBorder="0" applyAlignment="0" applyProtection="0"/>
    <xf numFmtId="0" fontId="42" fillId="0" borderId="0" applyFont="0" applyFill="0" applyBorder="0" applyAlignment="0" applyProtection="0"/>
    <xf numFmtId="175" fontId="42" fillId="0" borderId="0" applyFont="0" applyFill="0" applyBorder="0" applyAlignment="0" applyProtection="0"/>
    <xf numFmtId="175" fontId="42" fillId="0" borderId="0" applyFont="0" applyFill="0" applyBorder="0" applyAlignment="0" applyProtection="0"/>
    <xf numFmtId="175" fontId="42" fillId="0" borderId="0" applyFont="0" applyFill="0" applyBorder="0" applyAlignment="0" applyProtection="0"/>
    <xf numFmtId="203"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4"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201" fontId="42" fillId="0" borderId="0" applyFont="0" applyFill="0" applyBorder="0" applyAlignment="0" applyProtection="0"/>
    <xf numFmtId="43"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169" fontId="42" fillId="0" borderId="0" applyFont="0" applyFill="0" applyBorder="0" applyAlignment="0" applyProtection="0"/>
    <xf numFmtId="201" fontId="42" fillId="0" borderId="0" applyFont="0" applyFill="0" applyBorder="0" applyAlignment="0" applyProtection="0"/>
    <xf numFmtId="175" fontId="42" fillId="0" borderId="0" applyFont="0" applyFill="0" applyBorder="0" applyAlignment="0" applyProtection="0"/>
    <xf numFmtId="169" fontId="42" fillId="0" borderId="0" applyFont="0" applyFill="0" applyBorder="0" applyAlignment="0" applyProtection="0"/>
    <xf numFmtId="201"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204" fontId="42" fillId="0" borderId="0" applyFont="0" applyFill="0" applyBorder="0" applyAlignment="0" applyProtection="0"/>
    <xf numFmtId="43" fontId="42" fillId="0" borderId="0" applyFont="0" applyFill="0" applyBorder="0" applyAlignment="0" applyProtection="0"/>
    <xf numFmtId="204" fontId="42" fillId="0" borderId="0" applyFont="0" applyFill="0" applyBorder="0" applyAlignment="0" applyProtection="0"/>
    <xf numFmtId="169" fontId="42" fillId="0" borderId="0" applyFont="0" applyFill="0" applyBorder="0" applyAlignment="0" applyProtection="0"/>
    <xf numFmtId="201" fontId="42" fillId="0" borderId="0" applyFont="0" applyFill="0" applyBorder="0" applyAlignment="0" applyProtection="0"/>
    <xf numFmtId="203" fontId="42" fillId="0" borderId="0" applyFont="0" applyFill="0" applyBorder="0" applyAlignment="0" applyProtection="0"/>
    <xf numFmtId="201" fontId="42" fillId="0" borderId="0" applyFont="0" applyFill="0" applyBorder="0" applyAlignment="0" applyProtection="0"/>
    <xf numFmtId="169" fontId="42" fillId="0" borderId="0" applyFont="0" applyFill="0" applyBorder="0" applyAlignment="0" applyProtection="0"/>
    <xf numFmtId="175" fontId="42" fillId="0" borderId="0" applyFont="0" applyFill="0" applyBorder="0" applyAlignment="0" applyProtection="0"/>
    <xf numFmtId="204" fontId="42" fillId="0" borderId="0" applyFont="0" applyFill="0" applyBorder="0" applyAlignment="0" applyProtection="0"/>
    <xf numFmtId="180" fontId="42" fillId="0" borderId="0" applyFont="0" applyFill="0" applyBorder="0" applyAlignment="0" applyProtection="0"/>
    <xf numFmtId="169" fontId="42" fillId="0" borderId="0" applyFont="0" applyFill="0" applyBorder="0" applyAlignment="0" applyProtection="0"/>
    <xf numFmtId="180" fontId="42" fillId="0" borderId="0" applyFont="0" applyFill="0" applyBorder="0" applyAlignment="0" applyProtection="0"/>
    <xf numFmtId="201" fontId="42" fillId="0" borderId="0" applyFont="0" applyFill="0" applyBorder="0" applyAlignment="0" applyProtection="0"/>
    <xf numFmtId="180" fontId="42" fillId="0" borderId="0" applyFont="0" applyFill="0" applyBorder="0" applyAlignment="0" applyProtection="0"/>
    <xf numFmtId="201" fontId="42" fillId="0" borderId="0" applyFont="0" applyFill="0" applyBorder="0" applyAlignment="0" applyProtection="0"/>
    <xf numFmtId="205" fontId="42" fillId="0" borderId="0" applyFont="0" applyFill="0" applyBorder="0" applyAlignment="0" applyProtection="0"/>
    <xf numFmtId="206" fontId="42" fillId="0" borderId="0" applyFont="0" applyFill="0" applyBorder="0" applyAlignment="0" applyProtection="0"/>
    <xf numFmtId="204" fontId="42"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203" fontId="42" fillId="0" borderId="0" applyFont="0" applyFill="0" applyBorder="0" applyAlignment="0" applyProtection="0"/>
    <xf numFmtId="201" fontId="42" fillId="0" borderId="0" applyFont="0" applyFill="0" applyBorder="0" applyAlignment="0" applyProtection="0"/>
    <xf numFmtId="196" fontId="37" fillId="0" borderId="0" applyFont="0" applyFill="0" applyBorder="0" applyAlignment="0" applyProtection="0"/>
    <xf numFmtId="200"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200"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87" fontId="37" fillId="0" borderId="0" applyFont="0" applyFill="0" applyBorder="0" applyAlignment="0" applyProtection="0"/>
    <xf numFmtId="175" fontId="37" fillId="0" borderId="0" applyFont="0" applyFill="0" applyBorder="0" applyAlignment="0" applyProtection="0"/>
    <xf numFmtId="0" fontId="52" fillId="0" borderId="0"/>
    <xf numFmtId="199" fontId="42" fillId="0" borderId="0" applyFont="0" applyFill="0" applyBorder="0" applyAlignment="0" applyProtection="0"/>
    <xf numFmtId="166" fontId="42"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166" fontId="42" fillId="0" borderId="0" applyFont="0" applyFill="0" applyBorder="0" applyAlignment="0" applyProtection="0"/>
    <xf numFmtId="0" fontId="54" fillId="0" borderId="0">
      <alignment vertical="top"/>
    </xf>
    <xf numFmtId="0" fontId="54" fillId="0" borderId="0">
      <alignment vertical="top"/>
    </xf>
    <xf numFmtId="0" fontId="53" fillId="0" borderId="0">
      <alignment vertical="top"/>
    </xf>
    <xf numFmtId="0" fontId="53" fillId="0" borderId="0">
      <alignment vertical="top"/>
    </xf>
    <xf numFmtId="0" fontId="53" fillId="0" borderId="0">
      <alignment vertical="top"/>
    </xf>
    <xf numFmtId="0" fontId="11" fillId="0" borderId="0"/>
    <xf numFmtId="0" fontId="54" fillId="0" borderId="0">
      <alignment vertical="top"/>
    </xf>
    <xf numFmtId="0" fontId="54" fillId="0" borderId="0">
      <alignment vertical="top"/>
    </xf>
    <xf numFmtId="0" fontId="53" fillId="0" borderId="0">
      <alignment vertical="top"/>
    </xf>
    <xf numFmtId="0" fontId="53" fillId="0" borderId="0">
      <alignment vertical="top"/>
    </xf>
    <xf numFmtId="0" fontId="53" fillId="0" borderId="0">
      <alignment vertical="top"/>
    </xf>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53" fillId="0" borderId="0">
      <alignment vertical="top"/>
    </xf>
    <xf numFmtId="0" fontId="53" fillId="0" borderId="0">
      <alignment vertical="top"/>
    </xf>
    <xf numFmtId="0" fontId="53" fillId="0" borderId="0">
      <alignment vertical="top"/>
    </xf>
    <xf numFmtId="0" fontId="54" fillId="0" borderId="0">
      <alignment vertical="top"/>
    </xf>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187" fontId="40" fillId="0" borderId="0" applyProtection="0"/>
    <xf numFmtId="196" fontId="40" fillId="0" borderId="0" applyProtection="0"/>
    <xf numFmtId="196" fontId="40" fillId="0" borderId="0" applyProtection="0"/>
    <xf numFmtId="0" fontId="38" fillId="0" borderId="0" applyProtection="0"/>
    <xf numFmtId="187" fontId="40" fillId="0" borderId="0" applyProtection="0"/>
    <xf numFmtId="196" fontId="40" fillId="0" borderId="0" applyProtection="0"/>
    <xf numFmtId="196" fontId="40" fillId="0" borderId="0" applyProtection="0"/>
    <xf numFmtId="0" fontId="38" fillId="0" borderId="0" applyProtection="0"/>
    <xf numFmtId="199" fontId="42"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52" fillId="0" borderId="0"/>
    <xf numFmtId="195" fontId="42" fillId="0" borderId="0" applyFont="0" applyFill="0" applyBorder="0" applyAlignment="0" applyProtection="0"/>
    <xf numFmtId="0" fontId="52" fillId="0" borderId="0"/>
    <xf numFmtId="166" fontId="42" fillId="0" borderId="0" applyFont="0" applyFill="0" applyBorder="0" applyAlignment="0" applyProtection="0"/>
    <xf numFmtId="218" fontId="56" fillId="0" borderId="0" applyFont="0" applyFill="0" applyBorder="0" applyAlignment="0" applyProtection="0"/>
    <xf numFmtId="219" fontId="57" fillId="0" borderId="0" applyFont="0" applyFill="0" applyBorder="0" applyAlignment="0" applyProtection="0"/>
    <xf numFmtId="220" fontId="57" fillId="0" borderId="0" applyFont="0" applyFill="0" applyBorder="0" applyAlignment="0" applyProtection="0"/>
    <xf numFmtId="0" fontId="58" fillId="0" borderId="0"/>
    <xf numFmtId="0" fontId="59" fillId="0" borderId="0"/>
    <xf numFmtId="0" fontId="59" fillId="0" borderId="0"/>
    <xf numFmtId="0" fontId="59" fillId="0" borderId="0"/>
    <xf numFmtId="0" fontId="12" fillId="0" borderId="0"/>
    <xf numFmtId="1" fontId="60" fillId="0" borderId="1" applyBorder="0" applyAlignment="0">
      <alignment horizontal="center"/>
    </xf>
    <xf numFmtId="1" fontId="60" fillId="0" borderId="1" applyBorder="0" applyAlignment="0">
      <alignment horizontal="center"/>
    </xf>
    <xf numFmtId="0" fontId="61" fillId="0" borderId="0"/>
    <xf numFmtId="0" fontId="61" fillId="0" borderId="0"/>
    <xf numFmtId="0" fontId="11" fillId="0" borderId="0"/>
    <xf numFmtId="0" fontId="62" fillId="0" borderId="0"/>
    <xf numFmtId="0" fontId="61" fillId="0" borderId="0" applyProtection="0"/>
    <xf numFmtId="3" fontId="39" fillId="0" borderId="1"/>
    <xf numFmtId="3" fontId="39" fillId="0" borderId="1"/>
    <xf numFmtId="3" fontId="39" fillId="0" borderId="1"/>
    <xf numFmtId="3" fontId="39" fillId="0" borderId="1"/>
    <xf numFmtId="218" fontId="56" fillId="0" borderId="0" applyFont="0" applyFill="0" applyBorder="0" applyAlignment="0" applyProtection="0"/>
    <xf numFmtId="0" fontId="63" fillId="4" borderId="0"/>
    <xf numFmtId="0" fontId="63" fillId="4" borderId="0"/>
    <xf numFmtId="0" fontId="63" fillId="4" borderId="0"/>
    <xf numFmtId="218" fontId="56" fillId="0" borderId="0" applyFont="0" applyFill="0" applyBorder="0" applyAlignment="0" applyProtection="0"/>
    <xf numFmtId="0" fontId="63"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218" fontId="56" fillId="0" borderId="0" applyFont="0" applyFill="0" applyBorder="0" applyAlignment="0" applyProtection="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5" fillId="0" borderId="0" applyFont="0" applyFill="0" applyBorder="0" applyAlignment="0">
      <alignment horizontal="left"/>
    </xf>
    <xf numFmtId="0" fontId="63" fillId="4" borderId="0"/>
    <xf numFmtId="0" fontId="65" fillId="0" borderId="0" applyFont="0" applyFill="0" applyBorder="0" applyAlignment="0">
      <alignment horizontal="left"/>
    </xf>
    <xf numFmtId="0" fontId="64" fillId="4" borderId="0"/>
    <xf numFmtId="0" fontId="64" fillId="4" borderId="0"/>
    <xf numFmtId="0" fontId="64" fillId="4" borderId="0"/>
    <xf numFmtId="0" fontId="64" fillId="4" borderId="0"/>
    <xf numFmtId="0" fontId="64" fillId="4" borderId="0"/>
    <xf numFmtId="0" fontId="64" fillId="4" borderId="0"/>
    <xf numFmtId="218" fontId="56" fillId="0" borderId="0" applyFont="0" applyFill="0" applyBorder="0" applyAlignment="0" applyProtection="0"/>
    <xf numFmtId="0" fontId="63" fillId="4" borderId="0"/>
    <xf numFmtId="0" fontId="63" fillId="4" borderId="0"/>
    <xf numFmtId="0" fontId="66" fillId="0" borderId="1" applyNumberFormat="0" applyFont="0" applyBorder="0">
      <alignment horizontal="left" indent="2"/>
    </xf>
    <xf numFmtId="0" fontId="66" fillId="0" borderId="1" applyNumberFormat="0" applyFont="0" applyBorder="0">
      <alignment horizontal="left" indent="2"/>
    </xf>
    <xf numFmtId="0" fontId="65" fillId="0" borderId="0" applyFont="0" applyFill="0" applyBorder="0" applyAlignment="0">
      <alignment horizontal="left"/>
    </xf>
    <xf numFmtId="0" fontId="65" fillId="0" borderId="0" applyFont="0" applyFill="0" applyBorder="0" applyAlignment="0">
      <alignment horizontal="left"/>
    </xf>
    <xf numFmtId="0" fontId="67" fillId="0" borderId="0"/>
    <xf numFmtId="0" fontId="68" fillId="5" borderId="16" applyFont="0" applyFill="0" applyAlignment="0">
      <alignment vertical="center" wrapText="1"/>
    </xf>
    <xf numFmtId="9" fontId="69" fillId="0" borderId="0" applyBorder="0" applyAlignment="0" applyProtection="0"/>
    <xf numFmtId="0" fontId="70" fillId="4" borderId="0"/>
    <xf numFmtId="0" fontId="70"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70" fillId="4" borderId="0"/>
    <xf numFmtId="0" fontId="70" fillId="4" borderId="0"/>
    <xf numFmtId="0" fontId="66" fillId="0" borderId="1" applyNumberFormat="0" applyFont="0" applyBorder="0" applyAlignment="0">
      <alignment horizontal="center"/>
    </xf>
    <xf numFmtId="0" fontId="66" fillId="0" borderId="1" applyNumberFormat="0" applyFont="0" applyBorder="0" applyAlignment="0">
      <alignment horizontal="center"/>
    </xf>
    <xf numFmtId="0" fontId="71" fillId="6" borderId="0" applyNumberFormat="0" applyBorder="0" applyAlignment="0" applyProtection="0"/>
    <xf numFmtId="0" fontId="71" fillId="7" borderId="0" applyNumberFormat="0" applyBorder="0" applyAlignment="0" applyProtection="0"/>
    <xf numFmtId="0" fontId="71" fillId="8" borderId="0" applyNumberFormat="0" applyBorder="0" applyAlignment="0" applyProtection="0"/>
    <xf numFmtId="0" fontId="71" fillId="9" borderId="0" applyNumberFormat="0" applyBorder="0" applyAlignment="0" applyProtection="0"/>
    <xf numFmtId="0" fontId="71" fillId="10" borderId="0" applyNumberFormat="0" applyBorder="0" applyAlignment="0" applyProtection="0"/>
    <xf numFmtId="0" fontId="71" fillId="11" borderId="0" applyNumberFormat="0" applyBorder="0" applyAlignment="0" applyProtection="0"/>
    <xf numFmtId="0" fontId="72" fillId="0" borderId="0"/>
    <xf numFmtId="0" fontId="73" fillId="4" borderId="0"/>
    <xf numFmtId="0" fontId="73"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64" fillId="4" borderId="0"/>
    <xf numFmtId="0" fontId="73" fillId="4" borderId="0"/>
    <xf numFmtId="0" fontId="74" fillId="0" borderId="0">
      <alignment wrapText="1"/>
    </xf>
    <xf numFmtId="0" fontId="74" fillId="0" borderId="0">
      <alignment wrapText="1"/>
    </xf>
    <xf numFmtId="0" fontId="64" fillId="0" borderId="0">
      <alignment wrapText="1"/>
    </xf>
    <xf numFmtId="0" fontId="64" fillId="0" borderId="0">
      <alignment wrapText="1"/>
    </xf>
    <xf numFmtId="0" fontId="64" fillId="0" borderId="0">
      <alignment wrapText="1"/>
    </xf>
    <xf numFmtId="0" fontId="64" fillId="0" borderId="0">
      <alignment wrapText="1"/>
    </xf>
    <xf numFmtId="0" fontId="64" fillId="0" borderId="0">
      <alignment wrapText="1"/>
    </xf>
    <xf numFmtId="0" fontId="64" fillId="0" borderId="0">
      <alignment wrapText="1"/>
    </xf>
    <xf numFmtId="0" fontId="64" fillId="0" borderId="0">
      <alignment wrapText="1"/>
    </xf>
    <xf numFmtId="0" fontId="64" fillId="0" borderId="0">
      <alignment wrapText="1"/>
    </xf>
    <xf numFmtId="0" fontId="64" fillId="0" borderId="0">
      <alignment wrapText="1"/>
    </xf>
    <xf numFmtId="0" fontId="64" fillId="0" borderId="0">
      <alignment wrapText="1"/>
    </xf>
    <xf numFmtId="0" fontId="64" fillId="0" borderId="0">
      <alignment wrapText="1"/>
    </xf>
    <xf numFmtId="0" fontId="64" fillId="0" borderId="0">
      <alignment wrapText="1"/>
    </xf>
    <xf numFmtId="0" fontId="64" fillId="0" borderId="0">
      <alignment wrapText="1"/>
    </xf>
    <xf numFmtId="0" fontId="64" fillId="0" borderId="0">
      <alignment wrapText="1"/>
    </xf>
    <xf numFmtId="0" fontId="64" fillId="0" borderId="0">
      <alignment wrapText="1"/>
    </xf>
    <xf numFmtId="0" fontId="64" fillId="0" borderId="0">
      <alignment wrapText="1"/>
    </xf>
    <xf numFmtId="0" fontId="64" fillId="0" borderId="0">
      <alignment wrapText="1"/>
    </xf>
    <xf numFmtId="0" fontId="64" fillId="0" borderId="0">
      <alignment wrapText="1"/>
    </xf>
    <xf numFmtId="0" fontId="64" fillId="0" borderId="0">
      <alignment wrapText="1"/>
    </xf>
    <xf numFmtId="0" fontId="64" fillId="0" borderId="0">
      <alignment wrapText="1"/>
    </xf>
    <xf numFmtId="0" fontId="64" fillId="0" borderId="0">
      <alignment wrapText="1"/>
    </xf>
    <xf numFmtId="0" fontId="64" fillId="0" borderId="0">
      <alignment wrapText="1"/>
    </xf>
    <xf numFmtId="0" fontId="64" fillId="0" borderId="0">
      <alignment wrapText="1"/>
    </xf>
    <xf numFmtId="0" fontId="64" fillId="0" borderId="0">
      <alignment wrapText="1"/>
    </xf>
    <xf numFmtId="0" fontId="64" fillId="0" borderId="0">
      <alignment wrapText="1"/>
    </xf>
    <xf numFmtId="0" fontId="64" fillId="0" borderId="0">
      <alignment wrapText="1"/>
    </xf>
    <xf numFmtId="0" fontId="64" fillId="0" borderId="0">
      <alignment wrapText="1"/>
    </xf>
    <xf numFmtId="0" fontId="64" fillId="0" borderId="0">
      <alignment wrapText="1"/>
    </xf>
    <xf numFmtId="0" fontId="64" fillId="0" borderId="0">
      <alignment wrapText="1"/>
    </xf>
    <xf numFmtId="0" fontId="64" fillId="0" borderId="0">
      <alignment wrapText="1"/>
    </xf>
    <xf numFmtId="0" fontId="74" fillId="0" borderId="0">
      <alignment wrapText="1"/>
    </xf>
    <xf numFmtId="0" fontId="71" fillId="12" borderId="0" applyNumberFormat="0" applyBorder="0" applyAlignment="0" applyProtection="0"/>
    <xf numFmtId="0" fontId="71" fillId="13" borderId="0" applyNumberFormat="0" applyBorder="0" applyAlignment="0" applyProtection="0"/>
    <xf numFmtId="0" fontId="71" fillId="14" borderId="0" applyNumberFormat="0" applyBorder="0" applyAlignment="0" applyProtection="0"/>
    <xf numFmtId="0" fontId="71" fillId="9" borderId="0" applyNumberFormat="0" applyBorder="0" applyAlignment="0" applyProtection="0"/>
    <xf numFmtId="0" fontId="71" fillId="12" borderId="0" applyNumberFormat="0" applyBorder="0" applyAlignment="0" applyProtection="0"/>
    <xf numFmtId="0" fontId="71" fillId="15" borderId="0" applyNumberFormat="0" applyBorder="0" applyAlignment="0" applyProtection="0"/>
    <xf numFmtId="176" fontId="75" fillId="0" borderId="8" applyNumberFormat="0" applyFont="0" applyBorder="0" applyAlignment="0">
      <alignment horizontal="center"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76" fillId="16" borderId="0" applyNumberFormat="0" applyBorder="0" applyAlignment="0" applyProtection="0"/>
    <xf numFmtId="0" fontId="76" fillId="13" borderId="0" applyNumberFormat="0" applyBorder="0" applyAlignment="0" applyProtection="0"/>
    <xf numFmtId="0" fontId="76" fillId="14" borderId="0" applyNumberFormat="0" applyBorder="0" applyAlignment="0" applyProtection="0"/>
    <xf numFmtId="0" fontId="76" fillId="17" borderId="0" applyNumberFormat="0" applyBorder="0" applyAlignment="0" applyProtection="0"/>
    <xf numFmtId="0" fontId="76" fillId="18" borderId="0" applyNumberFormat="0" applyBorder="0" applyAlignment="0" applyProtection="0"/>
    <xf numFmtId="0" fontId="76" fillId="19"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76" fillId="20" borderId="0" applyNumberFormat="0" applyBorder="0" applyAlignment="0" applyProtection="0"/>
    <xf numFmtId="0" fontId="76" fillId="21" borderId="0" applyNumberFormat="0" applyBorder="0" applyAlignment="0" applyProtection="0"/>
    <xf numFmtId="0" fontId="76" fillId="22" borderId="0" applyNumberFormat="0" applyBorder="0" applyAlignment="0" applyProtection="0"/>
    <xf numFmtId="0" fontId="76" fillId="17" borderId="0" applyNumberFormat="0" applyBorder="0" applyAlignment="0" applyProtection="0"/>
    <xf numFmtId="0" fontId="76" fillId="18" borderId="0" applyNumberFormat="0" applyBorder="0" applyAlignment="0" applyProtection="0"/>
    <xf numFmtId="0" fontId="76" fillId="23" borderId="0" applyNumberFormat="0" applyBorder="0" applyAlignment="0" applyProtection="0"/>
    <xf numFmtId="221" fontId="77" fillId="0" borderId="0" applyFont="0" applyFill="0" applyBorder="0" applyAlignment="0" applyProtection="0"/>
    <xf numFmtId="0" fontId="78" fillId="0" borderId="0" applyFont="0" applyFill="0" applyBorder="0" applyAlignment="0" applyProtection="0"/>
    <xf numFmtId="222" fontId="79" fillId="0" borderId="0" applyFont="0" applyFill="0" applyBorder="0" applyAlignment="0" applyProtection="0"/>
    <xf numFmtId="213" fontId="77" fillId="0" borderId="0" applyFont="0" applyFill="0" applyBorder="0" applyAlignment="0" applyProtection="0"/>
    <xf numFmtId="0" fontId="78" fillId="0" borderId="0" applyFont="0" applyFill="0" applyBorder="0" applyAlignment="0" applyProtection="0"/>
    <xf numFmtId="223" fontId="77" fillId="0" borderId="0" applyFont="0" applyFill="0" applyBorder="0" applyAlignment="0" applyProtection="0"/>
    <xf numFmtId="0" fontId="80" fillId="0" borderId="0">
      <alignment horizontal="center" wrapText="1"/>
      <protection locked="0"/>
    </xf>
    <xf numFmtId="0" fontId="81" fillId="0" borderId="0">
      <alignment horizontal="center" wrapText="1"/>
      <protection locked="0"/>
    </xf>
    <xf numFmtId="0" fontId="82" fillId="0" borderId="0" applyNumberFormat="0" applyBorder="0" applyAlignment="0">
      <alignment horizontal="center"/>
    </xf>
    <xf numFmtId="211" fontId="83" fillId="0" borderId="0" applyFont="0" applyFill="0" applyBorder="0" applyAlignment="0" applyProtection="0"/>
    <xf numFmtId="0" fontId="84" fillId="0" borderId="0" applyFont="0" applyFill="0" applyBorder="0" applyAlignment="0" applyProtection="0"/>
    <xf numFmtId="224" fontId="42" fillId="0" borderId="0" applyFont="0" applyFill="0" applyBorder="0" applyAlignment="0" applyProtection="0"/>
    <xf numFmtId="202" fontId="83" fillId="0" borderId="0" applyFont="0" applyFill="0" applyBorder="0" applyAlignment="0" applyProtection="0"/>
    <xf numFmtId="0" fontId="84" fillId="0" borderId="0" applyFont="0" applyFill="0" applyBorder="0" applyAlignment="0" applyProtection="0"/>
    <xf numFmtId="225" fontId="42" fillId="0" borderId="0" applyFont="0" applyFill="0" applyBorder="0" applyAlignment="0" applyProtection="0"/>
    <xf numFmtId="196" fontId="37" fillId="0" borderId="0" applyFont="0" applyFill="0" applyBorder="0" applyAlignment="0" applyProtection="0"/>
    <xf numFmtId="200" fontId="37" fillId="0" borderId="0" applyFont="0" applyFill="0" applyBorder="0" applyAlignment="0" applyProtection="0"/>
    <xf numFmtId="0" fontId="85" fillId="7" borderId="0" applyNumberFormat="0" applyBorder="0" applyAlignment="0" applyProtection="0"/>
    <xf numFmtId="0" fontId="86" fillId="0" borderId="0" applyNumberFormat="0" applyFill="0" applyBorder="0" applyAlignment="0" applyProtection="0"/>
    <xf numFmtId="0" fontId="84" fillId="0" borderId="0"/>
    <xf numFmtId="0" fontId="87" fillId="0" borderId="0"/>
    <xf numFmtId="0" fontId="9" fillId="0" borderId="0"/>
    <xf numFmtId="0" fontId="84" fillId="0" borderId="0"/>
    <xf numFmtId="0" fontId="88" fillId="0" borderId="0"/>
    <xf numFmtId="0" fontId="89" fillId="0" borderId="0"/>
    <xf numFmtId="0" fontId="90" fillId="0" borderId="0"/>
    <xf numFmtId="226" fontId="30" fillId="0" borderId="0" applyFill="0" applyBorder="0" applyAlignment="0"/>
    <xf numFmtId="227" fontId="18" fillId="0" borderId="0" applyFill="0" applyBorder="0" applyAlignment="0"/>
    <xf numFmtId="228" fontId="9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30" fontId="11" fillId="0" borderId="0" applyFill="0" applyBorder="0" applyAlignment="0"/>
    <xf numFmtId="231" fontId="11" fillId="0" borderId="0" applyFill="0" applyBorder="0" applyAlignment="0"/>
    <xf numFmtId="231" fontId="11" fillId="0" borderId="0" applyFill="0" applyBorder="0" applyAlignment="0"/>
    <xf numFmtId="231" fontId="11" fillId="0" borderId="0" applyFill="0" applyBorder="0" applyAlignment="0"/>
    <xf numFmtId="231" fontId="11" fillId="0" borderId="0" applyFill="0" applyBorder="0" applyAlignment="0"/>
    <xf numFmtId="231" fontId="11" fillId="0" borderId="0" applyFill="0" applyBorder="0" applyAlignment="0"/>
    <xf numFmtId="231" fontId="11" fillId="0" borderId="0" applyFill="0" applyBorder="0" applyAlignment="0"/>
    <xf numFmtId="231" fontId="11" fillId="0" borderId="0" applyFill="0" applyBorder="0" applyAlignment="0"/>
    <xf numFmtId="231" fontId="11" fillId="0" borderId="0" applyFill="0" applyBorder="0" applyAlignment="0"/>
    <xf numFmtId="231" fontId="11" fillId="0" borderId="0" applyFill="0" applyBorder="0" applyAlignment="0"/>
    <xf numFmtId="231" fontId="11" fillId="0" borderId="0" applyFill="0" applyBorder="0" applyAlignment="0"/>
    <xf numFmtId="231" fontId="11" fillId="0" borderId="0" applyFill="0" applyBorder="0" applyAlignment="0"/>
    <xf numFmtId="231" fontId="11" fillId="0" borderId="0" applyFill="0" applyBorder="0" applyAlignment="0"/>
    <xf numFmtId="231" fontId="11" fillId="0" borderId="0" applyFill="0" applyBorder="0" applyAlignment="0"/>
    <xf numFmtId="231" fontId="11" fillId="0" borderId="0" applyFill="0" applyBorder="0" applyAlignment="0"/>
    <xf numFmtId="231" fontId="11" fillId="0" borderId="0" applyFill="0" applyBorder="0" applyAlignment="0"/>
    <xf numFmtId="232" fontId="11" fillId="0" borderId="0" applyFill="0" applyBorder="0" applyAlignment="0"/>
    <xf numFmtId="233" fontId="11" fillId="0" borderId="0" applyFill="0" applyBorder="0" applyAlignment="0"/>
    <xf numFmtId="233" fontId="11" fillId="0" borderId="0" applyFill="0" applyBorder="0" applyAlignment="0"/>
    <xf numFmtId="233" fontId="11" fillId="0" borderId="0" applyFill="0" applyBorder="0" applyAlignment="0"/>
    <xf numFmtId="233" fontId="11" fillId="0" borderId="0" applyFill="0" applyBorder="0" applyAlignment="0"/>
    <xf numFmtId="233" fontId="11" fillId="0" borderId="0" applyFill="0" applyBorder="0" applyAlignment="0"/>
    <xf numFmtId="233" fontId="11" fillId="0" borderId="0" applyFill="0" applyBorder="0" applyAlignment="0"/>
    <xf numFmtId="233" fontId="11" fillId="0" borderId="0" applyFill="0" applyBorder="0" applyAlignment="0"/>
    <xf numFmtId="233" fontId="11" fillId="0" borderId="0" applyFill="0" applyBorder="0" applyAlignment="0"/>
    <xf numFmtId="233" fontId="11" fillId="0" borderId="0" applyFill="0" applyBorder="0" applyAlignment="0"/>
    <xf numFmtId="233" fontId="11" fillId="0" borderId="0" applyFill="0" applyBorder="0" applyAlignment="0"/>
    <xf numFmtId="233" fontId="11" fillId="0" borderId="0" applyFill="0" applyBorder="0" applyAlignment="0"/>
    <xf numFmtId="233" fontId="11" fillId="0" borderId="0" applyFill="0" applyBorder="0" applyAlignment="0"/>
    <xf numFmtId="233" fontId="11" fillId="0" borderId="0" applyFill="0" applyBorder="0" applyAlignment="0"/>
    <xf numFmtId="233" fontId="11" fillId="0" borderId="0" applyFill="0" applyBorder="0" applyAlignment="0"/>
    <xf numFmtId="233" fontId="11" fillId="0" borderId="0" applyFill="0" applyBorder="0" applyAlignment="0"/>
    <xf numFmtId="234" fontId="72" fillId="0" borderId="0" applyFill="0" applyBorder="0" applyAlignment="0"/>
    <xf numFmtId="235" fontId="11" fillId="0" borderId="0" applyFill="0" applyBorder="0" applyAlignment="0"/>
    <xf numFmtId="235" fontId="11" fillId="0" borderId="0" applyFill="0" applyBorder="0" applyAlignment="0"/>
    <xf numFmtId="235" fontId="11" fillId="0" borderId="0" applyFill="0" applyBorder="0" applyAlignment="0"/>
    <xf numFmtId="235" fontId="11" fillId="0" borderId="0" applyFill="0" applyBorder="0" applyAlignment="0"/>
    <xf numFmtId="235" fontId="11" fillId="0" borderId="0" applyFill="0" applyBorder="0" applyAlignment="0"/>
    <xf numFmtId="235" fontId="11" fillId="0" borderId="0" applyFill="0" applyBorder="0" applyAlignment="0"/>
    <xf numFmtId="235" fontId="11" fillId="0" borderId="0" applyFill="0" applyBorder="0" applyAlignment="0"/>
    <xf numFmtId="235" fontId="11" fillId="0" borderId="0" applyFill="0" applyBorder="0" applyAlignment="0"/>
    <xf numFmtId="235" fontId="11" fillId="0" borderId="0" applyFill="0" applyBorder="0" applyAlignment="0"/>
    <xf numFmtId="235" fontId="11" fillId="0" borderId="0" applyFill="0" applyBorder="0" applyAlignment="0"/>
    <xf numFmtId="235" fontId="11" fillId="0" borderId="0" applyFill="0" applyBorder="0" applyAlignment="0"/>
    <xf numFmtId="235" fontId="11" fillId="0" borderId="0" applyFill="0" applyBorder="0" applyAlignment="0"/>
    <xf numFmtId="235" fontId="11" fillId="0" borderId="0" applyFill="0" applyBorder="0" applyAlignment="0"/>
    <xf numFmtId="235" fontId="11" fillId="0" borderId="0" applyFill="0" applyBorder="0" applyAlignment="0"/>
    <xf numFmtId="235" fontId="11" fillId="0" borderId="0" applyFill="0" applyBorder="0" applyAlignment="0"/>
    <xf numFmtId="236" fontId="9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8" fontId="9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28" fontId="9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0" fontId="92" fillId="24" borderId="17" applyNumberFormat="0" applyAlignment="0" applyProtection="0"/>
    <xf numFmtId="0" fontId="93" fillId="0" borderId="0"/>
    <xf numFmtId="0" fontId="94" fillId="0" borderId="0"/>
    <xf numFmtId="0" fontId="95" fillId="0" borderId="0" applyFill="0" applyBorder="0" applyProtection="0">
      <alignment horizontal="center"/>
      <protection locked="0"/>
    </xf>
    <xf numFmtId="240" fontId="42" fillId="0" borderId="0" applyFont="0" applyFill="0" applyBorder="0" applyAlignment="0" applyProtection="0"/>
    <xf numFmtId="0" fontId="96" fillId="25" borderId="18" applyNumberFormat="0" applyAlignment="0" applyProtection="0"/>
    <xf numFmtId="176" fontId="61" fillId="0" borderId="0" applyFont="0" applyFill="0" applyBorder="0" applyAlignment="0" applyProtection="0"/>
    <xf numFmtId="1" fontId="97" fillId="0" borderId="4" applyBorder="0"/>
    <xf numFmtId="0" fontId="98" fillId="0" borderId="2">
      <alignment horizontal="center"/>
    </xf>
    <xf numFmtId="241" fontId="99" fillId="0" borderId="0"/>
    <xf numFmtId="241" fontId="99" fillId="0" borderId="0"/>
    <xf numFmtId="241" fontId="99" fillId="0" borderId="0"/>
    <xf numFmtId="241" fontId="99" fillId="0" borderId="0"/>
    <xf numFmtId="241" fontId="99" fillId="0" borderId="0"/>
    <xf numFmtId="241" fontId="99" fillId="0" borderId="0"/>
    <xf numFmtId="241" fontId="99" fillId="0" borderId="0"/>
    <xf numFmtId="241" fontId="99" fillId="0" borderId="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167" fontId="11" fillId="0" borderId="0" applyFont="0" applyFill="0" applyBorder="0" applyAlignment="0" applyProtection="0"/>
    <xf numFmtId="167" fontId="100" fillId="0" borderId="0" applyFont="0" applyFill="0" applyBorder="0" applyAlignment="0" applyProtection="0"/>
    <xf numFmtId="193" fontId="17"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2"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243" fontId="40" fillId="0" borderId="0" applyProtection="0"/>
    <xf numFmtId="243" fontId="40" fillId="0" borderId="0" applyProtection="0"/>
    <xf numFmtId="172"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5" fontId="40" fillId="0" borderId="0" applyFont="0" applyFill="0" applyBorder="0" applyAlignment="0" applyProtection="0"/>
    <xf numFmtId="175" fontId="40" fillId="0" borderId="0" applyFont="0" applyFill="0" applyBorder="0" applyAlignment="0" applyProtection="0"/>
    <xf numFmtId="167" fontId="10" fillId="0" borderId="0" applyFont="0" applyFill="0" applyBorder="0" applyAlignment="0" applyProtection="0"/>
    <xf numFmtId="193" fontId="40"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236" fontId="91" fillId="0" borderId="0" applyFont="0" applyFill="0" applyBorder="0" applyAlignment="0" applyProtection="0"/>
    <xf numFmtId="237" fontId="11" fillId="0" borderId="0" applyFont="0" applyFill="0" applyBorder="0" applyAlignment="0" applyProtection="0"/>
    <xf numFmtId="237" fontId="11" fillId="0" borderId="0" applyFont="0" applyFill="0" applyBorder="0" applyAlignment="0" applyProtection="0"/>
    <xf numFmtId="237" fontId="11" fillId="0" borderId="0" applyFont="0" applyFill="0" applyBorder="0" applyAlignment="0" applyProtection="0"/>
    <xf numFmtId="237" fontId="11" fillId="0" borderId="0" applyFont="0" applyFill="0" applyBorder="0" applyAlignment="0" applyProtection="0"/>
    <xf numFmtId="237" fontId="11" fillId="0" borderId="0" applyFont="0" applyFill="0" applyBorder="0" applyAlignment="0" applyProtection="0"/>
    <xf numFmtId="237" fontId="11" fillId="0" borderId="0" applyFont="0" applyFill="0" applyBorder="0" applyAlignment="0" applyProtection="0"/>
    <xf numFmtId="237" fontId="11" fillId="0" borderId="0" applyFont="0" applyFill="0" applyBorder="0" applyAlignment="0" applyProtection="0"/>
    <xf numFmtId="237" fontId="11" fillId="0" borderId="0" applyFont="0" applyFill="0" applyBorder="0" applyAlignment="0" applyProtection="0"/>
    <xf numFmtId="237" fontId="11" fillId="0" borderId="0" applyFont="0" applyFill="0" applyBorder="0" applyAlignment="0" applyProtection="0"/>
    <xf numFmtId="237" fontId="11" fillId="0" borderId="0" applyFont="0" applyFill="0" applyBorder="0" applyAlignment="0" applyProtection="0"/>
    <xf numFmtId="237" fontId="11" fillId="0" borderId="0" applyFont="0" applyFill="0" applyBorder="0" applyAlignment="0" applyProtection="0"/>
    <xf numFmtId="237" fontId="11" fillId="0" borderId="0" applyFont="0" applyFill="0" applyBorder="0" applyAlignment="0" applyProtection="0"/>
    <xf numFmtId="237" fontId="11" fillId="0" borderId="0" applyFont="0" applyFill="0" applyBorder="0" applyAlignment="0" applyProtection="0"/>
    <xf numFmtId="237" fontId="11" fillId="0" borderId="0" applyFont="0" applyFill="0" applyBorder="0" applyAlignment="0" applyProtection="0"/>
    <xf numFmtId="237" fontId="11" fillId="0" borderId="0" applyFont="0" applyFill="0" applyBorder="0" applyAlignment="0" applyProtection="0"/>
    <xf numFmtId="244" fontId="23" fillId="0" borderId="0" applyFont="0" applyFill="0" applyBorder="0" applyAlignment="0" applyProtection="0"/>
    <xf numFmtId="245" fontId="40" fillId="0" borderId="0" applyFont="0" applyFill="0" applyBorder="0" applyAlignment="0" applyProtection="0"/>
    <xf numFmtId="246" fontId="101" fillId="0" borderId="0" applyFont="0" applyFill="0" applyBorder="0" applyAlignment="0" applyProtection="0"/>
    <xf numFmtId="247" fontId="40" fillId="0" borderId="0" applyFont="0" applyFill="0" applyBorder="0" applyAlignment="0" applyProtection="0"/>
    <xf numFmtId="248" fontId="101" fillId="0" borderId="0" applyFont="0" applyFill="0" applyBorder="0" applyAlignment="0" applyProtection="0"/>
    <xf numFmtId="249" fontId="40" fillId="0" borderId="0" applyFont="0" applyFill="0" applyBorder="0" applyAlignment="0" applyProtection="0"/>
    <xf numFmtId="169" fontId="10" fillId="0" borderId="0" applyFont="0" applyFill="0" applyBorder="0" applyAlignment="0" applyProtection="0"/>
    <xf numFmtId="169" fontId="11" fillId="0" borderId="0" applyFont="0" applyFill="0" applyBorder="0" applyAlignment="0" applyProtection="0"/>
    <xf numFmtId="43" fontId="10" fillId="0" borderId="0" applyFont="0" applyFill="0" applyBorder="0" applyAlignment="0" applyProtection="0"/>
    <xf numFmtId="250" fontId="10" fillId="0" borderId="0" applyFont="0" applyFill="0" applyBorder="0" applyAlignment="0" applyProtection="0"/>
    <xf numFmtId="169" fontId="10" fillId="0" borderId="0" applyFont="0" applyFill="0" applyBorder="0" applyAlignment="0" applyProtection="0"/>
    <xf numFmtId="187" fontId="10"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93" fontId="10" fillId="0" borderId="0" applyFont="0" applyFill="0" applyBorder="0" applyAlignment="0" applyProtection="0"/>
    <xf numFmtId="169" fontId="10"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29"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87" fontId="10" fillId="0" borderId="0" applyFont="0" applyFill="0" applyBorder="0" applyAlignment="0" applyProtection="0"/>
    <xf numFmtId="181" fontId="10" fillId="0" borderId="0" applyFont="0" applyFill="0" applyBorder="0" applyAlignment="0" applyProtection="0"/>
    <xf numFmtId="169" fontId="10" fillId="0" borderId="0" applyFont="0" applyFill="0" applyBorder="0" applyAlignment="0" applyProtection="0"/>
    <xf numFmtId="251" fontId="10" fillId="0" borderId="0" applyFont="0" applyFill="0" applyBorder="0" applyAlignment="0" applyProtection="0"/>
    <xf numFmtId="19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251" fontId="10" fillId="0" borderId="0" applyFont="0" applyFill="0" applyBorder="0" applyAlignment="0" applyProtection="0"/>
    <xf numFmtId="252" fontId="10" fillId="0" borderId="0" applyFont="0" applyFill="0" applyBorder="0" applyAlignment="0" applyProtection="0"/>
    <xf numFmtId="252" fontId="10" fillId="0" borderId="0" applyFont="0" applyFill="0" applyBorder="0" applyAlignment="0" applyProtection="0"/>
    <xf numFmtId="169" fontId="11" fillId="0" borderId="0" applyFont="0" applyFill="0" applyBorder="0" applyAlignment="0" applyProtection="0"/>
    <xf numFmtId="169" fontId="13" fillId="0" borderId="0" applyFont="0" applyFill="0" applyBorder="0" applyAlignment="0" applyProtection="0"/>
    <xf numFmtId="252" fontId="10" fillId="0" borderId="0" applyFont="0" applyFill="0" applyBorder="0" applyAlignment="0" applyProtection="0"/>
    <xf numFmtId="252" fontId="10" fillId="0" borderId="0" applyFont="0" applyFill="0" applyBorder="0" applyAlignment="0" applyProtection="0"/>
    <xf numFmtId="169" fontId="11"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5"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1" fillId="0" borderId="0" applyFont="0" applyFill="0" applyBorder="0" applyAlignment="0" applyProtection="0"/>
    <xf numFmtId="169" fontId="10"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61" fillId="0" borderId="0" applyFont="0" applyFill="0" applyBorder="0" applyAlignment="0" applyProtection="0"/>
    <xf numFmtId="169" fontId="102"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69" fontId="10"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1"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69" fontId="103" fillId="0" borderId="0" applyFont="0" applyFill="0" applyBorder="0" applyAlignment="0" applyProtection="0"/>
    <xf numFmtId="169" fontId="10" fillId="0" borderId="0" applyFont="0" applyFill="0" applyBorder="0" applyAlignment="0" applyProtection="0"/>
    <xf numFmtId="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69" fontId="12"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1" fillId="0" borderId="0" applyFont="0" applyFill="0" applyBorder="0" applyAlignment="0" applyProtection="0"/>
    <xf numFmtId="175" fontId="10" fillId="0" borderId="0" applyFont="0" applyFill="0" applyBorder="0" applyAlignment="0" applyProtection="0"/>
    <xf numFmtId="169" fontId="4" fillId="0" borderId="0" applyFont="0" applyFill="0" applyBorder="0" applyAlignment="0" applyProtection="0"/>
    <xf numFmtId="220" fontId="11" fillId="0" borderId="0" applyFont="0" applyFill="0" applyBorder="0" applyAlignment="0" applyProtection="0"/>
    <xf numFmtId="169" fontId="10" fillId="0" borderId="0" applyFont="0" applyFill="0" applyBorder="0" applyAlignment="0" applyProtection="0"/>
    <xf numFmtId="253" fontId="10" fillId="0" borderId="0" applyFont="0" applyFill="0" applyBorder="0" applyAlignment="0" applyProtection="0"/>
    <xf numFmtId="254" fontId="10" fillId="0" borderId="0" applyFont="0" applyFill="0" applyBorder="0" applyAlignment="0" applyProtection="0"/>
    <xf numFmtId="253" fontId="10" fillId="0" borderId="0" applyFont="0" applyFill="0" applyBorder="0" applyAlignment="0" applyProtection="0"/>
    <xf numFmtId="169" fontId="10" fillId="0" borderId="0" applyFont="0" applyFill="0" applyBorder="0" applyAlignment="0" applyProtection="0"/>
    <xf numFmtId="169" fontId="29" fillId="0" borderId="0" applyFont="0" applyFill="0" applyBorder="0" applyAlignment="0" applyProtection="0"/>
    <xf numFmtId="169" fontId="10" fillId="0" borderId="0" applyFont="0" applyFill="0" applyBorder="0" applyAlignment="0" applyProtection="0"/>
    <xf numFmtId="255" fontId="11" fillId="0" borderId="0" applyFont="0" applyFill="0" applyBorder="0" applyAlignment="0" applyProtection="0"/>
    <xf numFmtId="169" fontId="10" fillId="0" borderId="0" applyFont="0" applyFill="0" applyBorder="0" applyAlignment="0" applyProtection="0"/>
    <xf numFmtId="169" fontId="18"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80" fontId="11" fillId="0" borderId="0" applyFont="0" applyFill="0" applyBorder="0" applyAlignment="0" applyProtection="0"/>
    <xf numFmtId="168" fontId="40" fillId="0" borderId="0" applyFont="0" applyFill="0" applyBorder="0" applyAlignment="0" applyProtection="0"/>
    <xf numFmtId="169" fontId="102" fillId="0" borderId="0" applyFont="0" applyFill="0" applyBorder="0" applyAlignment="0" applyProtection="0"/>
    <xf numFmtId="0" fontId="10" fillId="0" borderId="0" applyFont="0" applyFill="0" applyBorder="0" applyAlignment="0" applyProtection="0"/>
    <xf numFmtId="256" fontId="40"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256" fontId="40" fillId="0" borderId="0" applyFont="0" applyFill="0" applyBorder="0" applyAlignment="0" applyProtection="0"/>
    <xf numFmtId="257" fontId="58" fillId="0" borderId="0" applyFont="0" applyFill="0" applyBorder="0" applyAlignment="0" applyProtection="0"/>
    <xf numFmtId="169" fontId="10" fillId="0" borderId="0" applyFont="0" applyFill="0" applyBorder="0" applyAlignment="0" applyProtection="0"/>
    <xf numFmtId="256" fontId="40"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0" fillId="0" borderId="0" applyFont="0" applyFill="0" applyBorder="0" applyAlignment="0" applyProtection="0"/>
    <xf numFmtId="169" fontId="11" fillId="0" borderId="0" applyFont="0" applyFill="0" applyBorder="0" applyAlignment="0" applyProtection="0"/>
    <xf numFmtId="169" fontId="10" fillId="0" borderId="0" applyFont="0" applyFill="0" applyBorder="0" applyAlignment="0" applyProtection="0"/>
    <xf numFmtId="169" fontId="14" fillId="0" borderId="0" applyFont="0" applyFill="0" applyBorder="0" applyAlignment="0" applyProtection="0"/>
    <xf numFmtId="169" fontId="10" fillId="0" borderId="0" applyFont="0" applyFill="0" applyBorder="0" applyAlignment="0" applyProtection="0"/>
    <xf numFmtId="257" fontId="58" fillId="0" borderId="0" applyFont="0" applyFill="0" applyBorder="0" applyAlignment="0" applyProtection="0"/>
    <xf numFmtId="258" fontId="40" fillId="0" borderId="0" applyProtection="0"/>
    <xf numFmtId="257" fontId="58" fillId="0" borderId="0" applyFont="0" applyFill="0" applyBorder="0" applyAlignment="0" applyProtection="0"/>
    <xf numFmtId="43" fontId="40" fillId="0" borderId="0" applyFont="0" applyFill="0" applyBorder="0" applyAlignment="0" applyProtection="0"/>
    <xf numFmtId="43" fontId="10"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259" fontId="11" fillId="0" borderId="0" applyFont="0" applyFill="0" applyBorder="0" applyAlignment="0" applyProtection="0"/>
    <xf numFmtId="0" fontId="11" fillId="0" borderId="0" applyFont="0" applyFill="0" applyBorder="0" applyAlignment="0" applyProtection="0"/>
    <xf numFmtId="169" fontId="11" fillId="0" borderId="0" applyFont="0" applyFill="0" applyBorder="0" applyAlignment="0" applyProtection="0"/>
    <xf numFmtId="175" fontId="17" fillId="0" borderId="0" applyFont="0" applyFill="0" applyBorder="0" applyAlignment="0" applyProtection="0"/>
    <xf numFmtId="185" fontId="40" fillId="0" borderId="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1"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85" fontId="40" fillId="0" borderId="0" applyProtection="0"/>
    <xf numFmtId="169" fontId="29"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75" fontId="40" fillId="0" borderId="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0" fontId="3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29" fillId="0" borderId="0" applyFont="0" applyFill="0" applyBorder="0" applyAlignment="0" applyProtection="0"/>
    <xf numFmtId="169" fontId="11"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1" fillId="0" borderId="0" applyFont="0" applyFill="0" applyBorder="0" applyAlignment="0" applyProtection="0"/>
    <xf numFmtId="260" fontId="13" fillId="0" borderId="0" applyFont="0" applyFill="0" applyBorder="0" applyAlignment="0" applyProtection="0"/>
    <xf numFmtId="169" fontId="11"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5" fontId="10" fillId="0" borderId="0" applyFont="0" applyFill="0" applyBorder="0" applyAlignment="0" applyProtection="0"/>
    <xf numFmtId="185" fontId="40" fillId="0" borderId="0" applyProtection="0"/>
    <xf numFmtId="185" fontId="40" fillId="0" borderId="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02" fillId="0" borderId="0" applyFont="0" applyFill="0" applyBorder="0" applyAlignment="0" applyProtection="0"/>
    <xf numFmtId="169" fontId="102"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0" fontId="11"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29" fillId="0" borderId="0" applyFont="0" applyFill="0" applyBorder="0" applyAlignment="0" applyProtection="0"/>
    <xf numFmtId="169" fontId="11" fillId="0" borderId="0" applyFont="0" applyFill="0" applyBorder="0" applyAlignment="0" applyProtection="0"/>
    <xf numFmtId="169" fontId="10" fillId="0" borderId="0" applyFont="0" applyFill="0" applyBorder="0" applyAlignment="0" applyProtection="0"/>
    <xf numFmtId="174" fontId="10" fillId="0" borderId="0" applyFont="0" applyFill="0" applyBorder="0" applyAlignment="0" applyProtection="0"/>
    <xf numFmtId="169" fontId="10" fillId="0" borderId="0" applyFont="0" applyFill="0" applyBorder="0" applyAlignment="0" applyProtection="0"/>
    <xf numFmtId="174" fontId="11" fillId="0" borderId="0" applyFont="0" applyFill="0" applyBorder="0" applyAlignment="0" applyProtection="0"/>
    <xf numFmtId="169" fontId="10" fillId="0" borderId="0" applyFont="0" applyFill="0" applyBorder="0" applyAlignment="0" applyProtection="0"/>
    <xf numFmtId="174" fontId="11" fillId="0" borderId="0" applyFont="0" applyFill="0" applyBorder="0" applyAlignment="0" applyProtection="0"/>
    <xf numFmtId="175" fontId="11" fillId="0" borderId="0" applyFont="0" applyFill="0" applyBorder="0" applyAlignment="0" applyProtection="0"/>
    <xf numFmtId="175" fontId="40" fillId="0" borderId="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69" fontId="10"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00" fillId="0" borderId="0" applyFont="0" applyFill="0" applyBorder="0" applyAlignment="0" applyProtection="0"/>
    <xf numFmtId="175" fontId="40" fillId="0" borderId="0" applyFont="0" applyFill="0" applyBorder="0" applyAlignment="0" applyProtection="0"/>
    <xf numFmtId="169" fontId="29" fillId="0" borderId="0" applyFont="0" applyFill="0" applyBorder="0" applyAlignment="0" applyProtection="0"/>
    <xf numFmtId="169" fontId="12" fillId="0" borderId="0" applyFont="0" applyFill="0" applyBorder="0" applyAlignment="0" applyProtection="0"/>
    <xf numFmtId="169" fontId="11" fillId="0" borderId="0" applyFont="0" applyFill="0" applyBorder="0" applyAlignment="0" applyProtection="0"/>
    <xf numFmtId="174" fontId="18"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29"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236" fontId="10" fillId="0" borderId="0" applyFont="0" applyFill="0" applyBorder="0" applyAlignment="0" applyProtection="0"/>
    <xf numFmtId="236" fontId="10" fillId="0" borderId="0" applyFont="0" applyFill="0" applyBorder="0" applyAlignment="0" applyProtection="0"/>
    <xf numFmtId="169" fontId="29" fillId="0" borderId="0" applyFont="0" applyFill="0" applyBorder="0" applyAlignment="0" applyProtection="0"/>
    <xf numFmtId="176" fontId="10" fillId="0" borderId="0" applyFont="0" applyFill="0" applyBorder="0" applyAlignment="0" applyProtection="0"/>
    <xf numFmtId="169" fontId="10" fillId="0" borderId="0" applyFont="0" applyFill="0" applyBorder="0" applyAlignment="0" applyProtection="0"/>
    <xf numFmtId="175" fontId="10" fillId="0" borderId="0" applyFont="0" applyFill="0" applyBorder="0" applyAlignment="0" applyProtection="0"/>
    <xf numFmtId="169" fontId="10" fillId="0" borderId="0" applyFont="0" applyFill="0" applyBorder="0" applyAlignment="0" applyProtection="0"/>
    <xf numFmtId="261" fontId="12" fillId="0" borderId="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40" fillId="0" borderId="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0" fontId="104" fillId="0" borderId="0" applyNumberFormat="0" applyFill="0" applyBorder="0" applyAlignment="0" applyProtection="0"/>
    <xf numFmtId="0" fontId="105" fillId="0" borderId="0">
      <alignment horizontal="center"/>
    </xf>
    <xf numFmtId="0" fontId="106" fillId="0" borderId="0" applyNumberFormat="0" applyAlignment="0">
      <alignment horizontal="left"/>
    </xf>
    <xf numFmtId="201" fontId="107" fillId="0" borderId="0" applyFont="0" applyFill="0" applyBorder="0" applyAlignment="0" applyProtection="0"/>
    <xf numFmtId="262" fontId="108" fillId="0" borderId="0" applyFill="0" applyBorder="0" applyProtection="0"/>
    <xf numFmtId="263" fontId="23" fillId="0" borderId="0" applyFont="0" applyFill="0" applyBorder="0" applyAlignment="0" applyProtection="0"/>
    <xf numFmtId="264" fontId="12" fillId="0" borderId="0" applyFill="0" applyBorder="0" applyProtection="0"/>
    <xf numFmtId="264" fontId="12" fillId="0" borderId="10" applyFill="0" applyProtection="0"/>
    <xf numFmtId="264" fontId="12" fillId="0" borderId="19" applyFill="0" applyProtection="0"/>
    <xf numFmtId="265" fontId="87" fillId="0" borderId="0" applyFont="0" applyFill="0" applyBorder="0" applyAlignment="0" applyProtection="0"/>
    <xf numFmtId="266" fontId="109" fillId="0" borderId="0" applyFont="0" applyFill="0" applyBorder="0" applyAlignment="0" applyProtection="0"/>
    <xf numFmtId="267" fontId="11" fillId="0" borderId="0" applyFont="0" applyFill="0" applyBorder="0" applyAlignment="0" applyProtection="0"/>
    <xf numFmtId="268" fontId="11" fillId="0" borderId="0" applyFont="0" applyFill="0" applyBorder="0" applyAlignment="0" applyProtection="0"/>
    <xf numFmtId="268" fontId="11" fillId="0" borderId="0" applyFont="0" applyFill="0" applyBorder="0" applyAlignment="0" applyProtection="0"/>
    <xf numFmtId="268" fontId="11" fillId="0" borderId="0" applyFont="0" applyFill="0" applyBorder="0" applyAlignment="0" applyProtection="0"/>
    <xf numFmtId="268" fontId="11" fillId="0" borderId="0" applyFont="0" applyFill="0" applyBorder="0" applyAlignment="0" applyProtection="0"/>
    <xf numFmtId="268" fontId="11" fillId="0" borderId="0" applyFont="0" applyFill="0" applyBorder="0" applyAlignment="0" applyProtection="0"/>
    <xf numFmtId="268" fontId="11" fillId="0" borderId="0" applyFont="0" applyFill="0" applyBorder="0" applyAlignment="0" applyProtection="0"/>
    <xf numFmtId="268" fontId="11" fillId="0" borderId="0" applyFont="0" applyFill="0" applyBorder="0" applyAlignment="0" applyProtection="0"/>
    <xf numFmtId="268" fontId="11" fillId="0" borderId="0" applyFont="0" applyFill="0" applyBorder="0" applyAlignment="0" applyProtection="0"/>
    <xf numFmtId="268" fontId="11" fillId="0" borderId="0" applyFont="0" applyFill="0" applyBorder="0" applyAlignment="0" applyProtection="0"/>
    <xf numFmtId="268" fontId="11" fillId="0" borderId="0" applyFont="0" applyFill="0" applyBorder="0" applyAlignment="0" applyProtection="0"/>
    <xf numFmtId="268" fontId="11" fillId="0" borderId="0" applyFont="0" applyFill="0" applyBorder="0" applyAlignment="0" applyProtection="0"/>
    <xf numFmtId="268" fontId="11" fillId="0" borderId="0" applyFont="0" applyFill="0" applyBorder="0" applyAlignment="0" applyProtection="0"/>
    <xf numFmtId="268" fontId="11" fillId="0" borderId="0" applyFont="0" applyFill="0" applyBorder="0" applyAlignment="0" applyProtection="0"/>
    <xf numFmtId="268" fontId="11" fillId="0" borderId="0" applyFont="0" applyFill="0" applyBorder="0" applyAlignment="0" applyProtection="0"/>
    <xf numFmtId="268" fontId="11" fillId="0" borderId="0" applyFont="0" applyFill="0" applyBorder="0" applyAlignment="0" applyProtection="0"/>
    <xf numFmtId="269" fontId="109" fillId="0" borderId="0" applyFont="0" applyFill="0" applyBorder="0" applyAlignment="0" applyProtection="0"/>
    <xf numFmtId="228" fontId="9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70" fontId="101" fillId="0" borderId="0" applyFont="0" applyFill="0" applyBorder="0" applyAlignment="0" applyProtection="0"/>
    <xf numFmtId="271" fontId="40" fillId="0" borderId="0" applyFont="0" applyFill="0" applyBorder="0" applyAlignment="0" applyProtection="0"/>
    <xf numFmtId="272" fontId="101" fillId="0" borderId="0" applyFont="0" applyFill="0" applyBorder="0" applyAlignment="0" applyProtection="0"/>
    <xf numFmtId="273" fontId="101" fillId="0" borderId="0" applyFont="0" applyFill="0" applyBorder="0" applyAlignment="0" applyProtection="0"/>
    <xf numFmtId="274" fontId="40" fillId="0" borderId="0" applyFont="0" applyFill="0" applyBorder="0" applyAlignment="0" applyProtection="0"/>
    <xf numFmtId="275" fontId="101" fillId="0" borderId="0" applyFont="0" applyFill="0" applyBorder="0" applyAlignment="0" applyProtection="0"/>
    <xf numFmtId="276" fontId="101" fillId="0" borderId="0" applyFont="0" applyFill="0" applyBorder="0" applyAlignment="0" applyProtection="0"/>
    <xf numFmtId="277" fontId="40" fillId="0" borderId="0" applyFont="0" applyFill="0" applyBorder="0" applyAlignment="0" applyProtection="0"/>
    <xf numFmtId="278" fontId="101" fillId="0" borderId="0" applyFont="0" applyFill="0" applyBorder="0" applyAlignment="0" applyProtection="0"/>
    <xf numFmtId="168" fontId="10"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279" fontId="11" fillId="0" borderId="0" applyFont="0" applyFill="0" applyBorder="0" applyAlignment="0" applyProtection="0"/>
    <xf numFmtId="280" fontId="11" fillId="0" borderId="0" applyFont="0" applyFill="0" applyBorder="0" applyAlignment="0" applyProtection="0"/>
    <xf numFmtId="280" fontId="11" fillId="0" borderId="0" applyFont="0" applyFill="0" applyBorder="0" applyAlignment="0" applyProtection="0"/>
    <xf numFmtId="280" fontId="11" fillId="0" borderId="0" applyFont="0" applyFill="0" applyBorder="0" applyAlignment="0" applyProtection="0"/>
    <xf numFmtId="280" fontId="11" fillId="0" borderId="0" applyFont="0" applyFill="0" applyBorder="0" applyAlignment="0" applyProtection="0"/>
    <xf numFmtId="280" fontId="11" fillId="0" borderId="0" applyFont="0" applyFill="0" applyBorder="0" applyAlignment="0" applyProtection="0"/>
    <xf numFmtId="280" fontId="11" fillId="0" borderId="0" applyFont="0" applyFill="0" applyBorder="0" applyAlignment="0" applyProtection="0"/>
    <xf numFmtId="280" fontId="11" fillId="0" borderId="0" applyFont="0" applyFill="0" applyBorder="0" applyAlignment="0" applyProtection="0"/>
    <xf numFmtId="280" fontId="11" fillId="0" borderId="0" applyFont="0" applyFill="0" applyBorder="0" applyAlignment="0" applyProtection="0"/>
    <xf numFmtId="280" fontId="11" fillId="0" borderId="0" applyFont="0" applyFill="0" applyBorder="0" applyAlignment="0" applyProtection="0"/>
    <xf numFmtId="281" fontId="40" fillId="0" borderId="0" applyProtection="0"/>
    <xf numFmtId="280" fontId="11" fillId="0" borderId="0" applyFont="0" applyFill="0" applyBorder="0" applyAlignment="0" applyProtection="0"/>
    <xf numFmtId="280" fontId="11" fillId="0" borderId="0" applyFont="0" applyFill="0" applyBorder="0" applyAlignment="0" applyProtection="0"/>
    <xf numFmtId="280" fontId="11" fillId="0" borderId="0" applyFont="0" applyFill="0" applyBorder="0" applyAlignment="0" applyProtection="0"/>
    <xf numFmtId="280" fontId="11" fillId="0" borderId="0" applyFont="0" applyFill="0" applyBorder="0" applyAlignment="0" applyProtection="0"/>
    <xf numFmtId="280" fontId="11" fillId="0" borderId="0" applyFont="0" applyFill="0" applyBorder="0" applyAlignment="0" applyProtection="0"/>
    <xf numFmtId="280" fontId="11" fillId="0" borderId="0" applyFont="0" applyFill="0" applyBorder="0" applyAlignment="0" applyProtection="0"/>
    <xf numFmtId="280" fontId="11" fillId="0" borderId="0" applyFont="0" applyFill="0" applyBorder="0" applyAlignment="0" applyProtection="0"/>
    <xf numFmtId="282" fontId="11" fillId="0" borderId="0"/>
    <xf numFmtId="282" fontId="11" fillId="0" borderId="0"/>
    <xf numFmtId="282" fontId="11" fillId="0" borderId="0"/>
    <xf numFmtId="282" fontId="11" fillId="0" borderId="0"/>
    <xf numFmtId="282" fontId="11" fillId="0" borderId="0"/>
    <xf numFmtId="282" fontId="11" fillId="0" borderId="0"/>
    <xf numFmtId="282" fontId="11" fillId="0" borderId="0"/>
    <xf numFmtId="282" fontId="11" fillId="0" borderId="0"/>
    <xf numFmtId="282" fontId="11" fillId="0" borderId="0"/>
    <xf numFmtId="282" fontId="11" fillId="0" borderId="0" applyProtection="0"/>
    <xf numFmtId="282" fontId="11" fillId="0" borderId="0"/>
    <xf numFmtId="282" fontId="11" fillId="0" borderId="0"/>
    <xf numFmtId="282" fontId="11" fillId="0" borderId="0"/>
    <xf numFmtId="282" fontId="11" fillId="0" borderId="0"/>
    <xf numFmtId="282" fontId="11" fillId="0" borderId="0"/>
    <xf numFmtId="282" fontId="11" fillId="0" borderId="0"/>
    <xf numFmtId="282" fontId="11" fillId="0" borderId="0"/>
    <xf numFmtId="186" fontId="18" fillId="0" borderId="2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40" fillId="0" borderId="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4" fontId="54" fillId="0" borderId="0" applyFill="0" applyBorder="0" applyAlignment="0"/>
    <xf numFmtId="14" fontId="53" fillId="0" borderId="0" applyFill="0" applyBorder="0" applyAlignment="0"/>
    <xf numFmtId="0" fontId="58" fillId="0" borderId="0" applyProtection="0"/>
    <xf numFmtId="169" fontId="29" fillId="0" borderId="0" applyFont="0" applyFill="0" applyBorder="0" applyAlignment="0" applyProtection="0"/>
    <xf numFmtId="3" fontId="110" fillId="0" borderId="3">
      <alignment horizontal="left" vertical="top" wrapText="1"/>
    </xf>
    <xf numFmtId="283" fontId="12" fillId="0" borderId="0" applyFill="0" applyBorder="0" applyProtection="0"/>
    <xf numFmtId="283" fontId="12" fillId="0" borderId="10" applyFill="0" applyProtection="0"/>
    <xf numFmtId="283" fontId="12" fillId="0" borderId="19" applyFill="0" applyProtection="0"/>
    <xf numFmtId="284" fontId="11" fillId="0" borderId="21">
      <alignment vertical="center"/>
    </xf>
    <xf numFmtId="284" fontId="11" fillId="0" borderId="21">
      <alignment vertical="center"/>
    </xf>
    <xf numFmtId="284" fontId="11" fillId="0" borderId="21">
      <alignment vertical="center"/>
    </xf>
    <xf numFmtId="284" fontId="11" fillId="0" borderId="21">
      <alignment vertical="center"/>
    </xf>
    <xf numFmtId="284" fontId="11" fillId="0" borderId="21">
      <alignment vertical="center"/>
    </xf>
    <xf numFmtId="284" fontId="11" fillId="0" borderId="21">
      <alignment vertical="center"/>
    </xf>
    <xf numFmtId="284" fontId="11" fillId="0" borderId="21">
      <alignment vertical="center"/>
    </xf>
    <xf numFmtId="284" fontId="11" fillId="0" borderId="21">
      <alignment vertical="center"/>
    </xf>
    <xf numFmtId="284" fontId="11" fillId="0" borderId="21">
      <alignment vertical="center"/>
    </xf>
    <xf numFmtId="284" fontId="11" fillId="0" borderId="21">
      <alignment vertical="center"/>
    </xf>
    <xf numFmtId="284" fontId="11" fillId="0" borderId="21">
      <alignment vertical="center"/>
    </xf>
    <xf numFmtId="284" fontId="11" fillId="0" borderId="21">
      <alignment vertical="center"/>
    </xf>
    <xf numFmtId="284" fontId="11" fillId="0" borderId="21">
      <alignment vertical="center"/>
    </xf>
    <xf numFmtId="284" fontId="11" fillId="0" borderId="21">
      <alignment vertical="center"/>
    </xf>
    <xf numFmtId="284" fontId="11" fillId="0" borderId="21">
      <alignment vertical="center"/>
    </xf>
    <xf numFmtId="0" fontId="11" fillId="0" borderId="0" applyFont="0" applyFill="0" applyBorder="0" applyAlignment="0" applyProtection="0"/>
    <xf numFmtId="0" fontId="11" fillId="0" borderId="0" applyFont="0" applyFill="0" applyBorder="0" applyAlignment="0" applyProtection="0"/>
    <xf numFmtId="285" fontId="18" fillId="0" borderId="0"/>
    <xf numFmtId="286" fontId="41" fillId="0" borderId="1"/>
    <xf numFmtId="286" fontId="41" fillId="0" borderId="1"/>
    <xf numFmtId="255" fontId="11" fillId="0" borderId="0"/>
    <xf numFmtId="255" fontId="11" fillId="0" borderId="0"/>
    <xf numFmtId="255" fontId="11" fillId="0" borderId="0"/>
    <xf numFmtId="255" fontId="11" fillId="0" borderId="0"/>
    <xf numFmtId="255" fontId="11" fillId="0" borderId="0"/>
    <xf numFmtId="255" fontId="11" fillId="0" borderId="0"/>
    <xf numFmtId="255" fontId="11" fillId="0" borderId="0"/>
    <xf numFmtId="255" fontId="11" fillId="0" borderId="0"/>
    <xf numFmtId="255" fontId="11" fillId="0" borderId="0"/>
    <xf numFmtId="255" fontId="11" fillId="0" borderId="0" applyProtection="0"/>
    <xf numFmtId="255" fontId="11" fillId="0" borderId="0"/>
    <xf numFmtId="255" fontId="11" fillId="0" borderId="0"/>
    <xf numFmtId="255" fontId="11" fillId="0" borderId="0"/>
    <xf numFmtId="255" fontId="11" fillId="0" borderId="0"/>
    <xf numFmtId="255" fontId="11" fillId="0" borderId="0"/>
    <xf numFmtId="255" fontId="11" fillId="0" borderId="0"/>
    <xf numFmtId="255" fontId="11" fillId="0" borderId="0"/>
    <xf numFmtId="287" fontId="41" fillId="0" borderId="0"/>
    <xf numFmtId="193" fontId="111" fillId="0" borderId="0" applyFont="0" applyFill="0" applyBorder="0" applyAlignment="0" applyProtection="0"/>
    <xf numFmtId="175" fontId="111" fillId="0" borderId="0" applyFont="0" applyFill="0" applyBorder="0" applyAlignment="0" applyProtection="0"/>
    <xf numFmtId="193" fontId="111" fillId="0" borderId="0" applyFont="0" applyFill="0" applyBorder="0" applyAlignment="0" applyProtection="0"/>
    <xf numFmtId="167" fontId="111" fillId="0" borderId="0" applyFont="0" applyFill="0" applyBorder="0" applyAlignment="0" applyProtection="0"/>
    <xf numFmtId="172" fontId="111" fillId="0" borderId="0" applyFont="0" applyFill="0" applyBorder="0" applyAlignment="0" applyProtection="0"/>
    <xf numFmtId="172" fontId="111" fillId="0" borderId="0" applyFont="0" applyFill="0" applyBorder="0" applyAlignment="0" applyProtection="0"/>
    <xf numFmtId="172" fontId="111" fillId="0" borderId="0" applyFont="0" applyFill="0" applyBorder="0" applyAlignment="0" applyProtection="0"/>
    <xf numFmtId="172" fontId="111" fillId="0" borderId="0" applyFont="0" applyFill="0" applyBorder="0" applyAlignment="0" applyProtection="0"/>
    <xf numFmtId="172" fontId="111" fillId="0" borderId="0" applyFont="0" applyFill="0" applyBorder="0" applyAlignment="0" applyProtection="0"/>
    <xf numFmtId="172" fontId="111" fillId="0" borderId="0" applyFont="0" applyFill="0" applyBorder="0" applyAlignment="0" applyProtection="0"/>
    <xf numFmtId="172" fontId="111" fillId="0" borderId="0" applyFont="0" applyFill="0" applyBorder="0" applyAlignment="0" applyProtection="0"/>
    <xf numFmtId="172" fontId="111" fillId="0" borderId="0" applyFont="0" applyFill="0" applyBorder="0" applyAlignment="0" applyProtection="0"/>
    <xf numFmtId="172" fontId="111" fillId="0" borderId="0" applyFont="0" applyFill="0" applyBorder="0" applyAlignment="0" applyProtection="0"/>
    <xf numFmtId="172" fontId="111" fillId="0" borderId="0" applyFont="0" applyFill="0" applyBorder="0" applyAlignment="0" applyProtection="0"/>
    <xf numFmtId="172" fontId="111" fillId="0" borderId="0" applyFont="0" applyFill="0" applyBorder="0" applyAlignment="0" applyProtection="0"/>
    <xf numFmtId="172" fontId="111" fillId="0" borderId="0" applyFont="0" applyFill="0" applyBorder="0" applyAlignment="0" applyProtection="0"/>
    <xf numFmtId="288" fontId="72" fillId="0" borderId="0" applyFont="0" applyFill="0" applyBorder="0" applyAlignment="0" applyProtection="0"/>
    <xf numFmtId="288" fontId="72" fillId="0" borderId="0" applyFont="0" applyFill="0" applyBorder="0" applyAlignment="0" applyProtection="0"/>
    <xf numFmtId="167" fontId="112" fillId="0" borderId="0" applyFont="0" applyFill="0" applyBorder="0" applyAlignment="0" applyProtection="0"/>
    <xf numFmtId="167" fontId="112" fillId="0" borderId="0" applyFont="0" applyFill="0" applyBorder="0" applyAlignment="0" applyProtection="0"/>
    <xf numFmtId="288" fontId="72" fillId="0" borderId="0" applyFont="0" applyFill="0" applyBorder="0" applyAlignment="0" applyProtection="0"/>
    <xf numFmtId="288" fontId="72" fillId="0" borderId="0" applyFont="0" applyFill="0" applyBorder="0" applyAlignment="0" applyProtection="0"/>
    <xf numFmtId="193" fontId="111" fillId="0" borderId="0" applyFont="0" applyFill="0" applyBorder="0" applyAlignment="0" applyProtection="0"/>
    <xf numFmtId="193" fontId="111" fillId="0" borderId="0" applyFont="0" applyFill="0" applyBorder="0" applyAlignment="0" applyProtection="0"/>
    <xf numFmtId="288" fontId="72" fillId="0" borderId="0" applyFont="0" applyFill="0" applyBorder="0" applyAlignment="0" applyProtection="0"/>
    <xf numFmtId="288" fontId="72" fillId="0" borderId="0" applyFont="0" applyFill="0" applyBorder="0" applyAlignment="0" applyProtection="0"/>
    <xf numFmtId="289" fontId="18" fillId="0" borderId="0" applyFont="0" applyFill="0" applyBorder="0" applyAlignment="0" applyProtection="0"/>
    <xf numFmtId="289" fontId="18" fillId="0" borderId="0" applyFont="0" applyFill="0" applyBorder="0" applyAlignment="0" applyProtection="0"/>
    <xf numFmtId="290" fontId="18" fillId="0" borderId="0" applyFont="0" applyFill="0" applyBorder="0" applyAlignment="0" applyProtection="0"/>
    <xf numFmtId="290" fontId="18" fillId="0" borderId="0" applyFont="0" applyFill="0" applyBorder="0" applyAlignment="0" applyProtection="0"/>
    <xf numFmtId="167" fontId="111" fillId="0" borderId="0" applyFont="0" applyFill="0" applyBorder="0" applyAlignment="0" applyProtection="0"/>
    <xf numFmtId="167" fontId="111" fillId="0" borderId="0" applyFont="0" applyFill="0" applyBorder="0" applyAlignment="0" applyProtection="0"/>
    <xf numFmtId="167" fontId="111" fillId="0" borderId="0" applyFont="0" applyFill="0" applyBorder="0" applyAlignment="0" applyProtection="0"/>
    <xf numFmtId="167" fontId="111" fillId="0" borderId="0" applyFont="0" applyFill="0" applyBorder="0" applyAlignment="0" applyProtection="0"/>
    <xf numFmtId="167" fontId="111" fillId="0" borderId="0" applyFont="0" applyFill="0" applyBorder="0" applyAlignment="0" applyProtection="0"/>
    <xf numFmtId="167" fontId="111" fillId="0" borderId="0" applyFont="0" applyFill="0" applyBorder="0" applyAlignment="0" applyProtection="0"/>
    <xf numFmtId="167" fontId="112" fillId="0" borderId="0" applyFont="0" applyFill="0" applyBorder="0" applyAlignment="0" applyProtection="0"/>
    <xf numFmtId="167" fontId="112" fillId="0" borderId="0" applyFont="0" applyFill="0" applyBorder="0" applyAlignment="0" applyProtection="0"/>
    <xf numFmtId="41" fontId="111" fillId="0" borderId="0" applyFont="0" applyFill="0" applyBorder="0" applyAlignment="0" applyProtection="0"/>
    <xf numFmtId="167" fontId="111" fillId="0" borderId="0" applyFont="0" applyFill="0" applyBorder="0" applyAlignment="0" applyProtection="0"/>
    <xf numFmtId="41" fontId="111" fillId="0" borderId="0" applyFont="0" applyFill="0" applyBorder="0" applyAlignment="0" applyProtection="0"/>
    <xf numFmtId="41" fontId="111" fillId="0" borderId="0" applyFont="0" applyFill="0" applyBorder="0" applyAlignment="0" applyProtection="0"/>
    <xf numFmtId="41" fontId="111" fillId="0" borderId="0" applyFont="0" applyFill="0" applyBorder="0" applyAlignment="0" applyProtection="0"/>
    <xf numFmtId="41" fontId="111" fillId="0" borderId="0" applyFont="0" applyFill="0" applyBorder="0" applyAlignment="0" applyProtection="0"/>
    <xf numFmtId="167" fontId="111" fillId="0" borderId="0" applyFont="0" applyFill="0" applyBorder="0" applyAlignment="0" applyProtection="0"/>
    <xf numFmtId="193" fontId="111" fillId="0" borderId="0" applyFont="0" applyFill="0" applyBorder="0" applyAlignment="0" applyProtection="0"/>
    <xf numFmtId="167" fontId="111" fillId="0" borderId="0" applyFont="0" applyFill="0" applyBorder="0" applyAlignment="0" applyProtection="0"/>
    <xf numFmtId="193" fontId="111" fillId="0" borderId="0" applyFont="0" applyFill="0" applyBorder="0" applyAlignment="0" applyProtection="0"/>
    <xf numFmtId="167" fontId="111" fillId="0" borderId="0" applyFont="0" applyFill="0" applyBorder="0" applyAlignment="0" applyProtection="0"/>
    <xf numFmtId="167" fontId="111" fillId="0" borderId="0" applyFont="0" applyFill="0" applyBorder="0" applyAlignment="0" applyProtection="0"/>
    <xf numFmtId="41" fontId="111" fillId="0" borderId="0" applyFont="0" applyFill="0" applyBorder="0" applyAlignment="0" applyProtection="0"/>
    <xf numFmtId="41" fontId="111" fillId="0" borderId="0" applyFont="0" applyFill="0" applyBorder="0" applyAlignment="0" applyProtection="0"/>
    <xf numFmtId="167" fontId="111" fillId="0" borderId="0" applyFont="0" applyFill="0" applyBorder="0" applyAlignment="0" applyProtection="0"/>
    <xf numFmtId="175" fontId="111" fillId="0" borderId="0" applyFont="0" applyFill="0" applyBorder="0" applyAlignment="0" applyProtection="0"/>
    <xf numFmtId="169" fontId="111" fillId="0" borderId="0" applyFont="0" applyFill="0" applyBorder="0" applyAlignment="0" applyProtection="0"/>
    <xf numFmtId="174" fontId="111" fillId="0" borderId="0" applyFont="0" applyFill="0" applyBorder="0" applyAlignment="0" applyProtection="0"/>
    <xf numFmtId="174" fontId="111" fillId="0" borderId="0" applyFont="0" applyFill="0" applyBorder="0" applyAlignment="0" applyProtection="0"/>
    <xf numFmtId="174" fontId="111" fillId="0" borderId="0" applyFont="0" applyFill="0" applyBorder="0" applyAlignment="0" applyProtection="0"/>
    <xf numFmtId="174" fontId="111" fillId="0" borderId="0" applyFont="0" applyFill="0" applyBorder="0" applyAlignment="0" applyProtection="0"/>
    <xf numFmtId="174" fontId="111" fillId="0" borderId="0" applyFont="0" applyFill="0" applyBorder="0" applyAlignment="0" applyProtection="0"/>
    <xf numFmtId="174" fontId="111" fillId="0" borderId="0" applyFont="0" applyFill="0" applyBorder="0" applyAlignment="0" applyProtection="0"/>
    <xf numFmtId="174" fontId="111" fillId="0" borderId="0" applyFont="0" applyFill="0" applyBorder="0" applyAlignment="0" applyProtection="0"/>
    <xf numFmtId="174" fontId="111" fillId="0" borderId="0" applyFont="0" applyFill="0" applyBorder="0" applyAlignment="0" applyProtection="0"/>
    <xf numFmtId="174" fontId="111" fillId="0" borderId="0" applyFont="0" applyFill="0" applyBorder="0" applyAlignment="0" applyProtection="0"/>
    <xf numFmtId="174" fontId="111" fillId="0" borderId="0" applyFont="0" applyFill="0" applyBorder="0" applyAlignment="0" applyProtection="0"/>
    <xf numFmtId="174" fontId="111" fillId="0" borderId="0" applyFont="0" applyFill="0" applyBorder="0" applyAlignment="0" applyProtection="0"/>
    <xf numFmtId="174" fontId="111" fillId="0" borderId="0" applyFont="0" applyFill="0" applyBorder="0" applyAlignment="0" applyProtection="0"/>
    <xf numFmtId="291" fontId="72" fillId="0" borderId="0" applyFont="0" applyFill="0" applyBorder="0" applyAlignment="0" applyProtection="0"/>
    <xf numFmtId="291" fontId="72" fillId="0" borderId="0" applyFont="0" applyFill="0" applyBorder="0" applyAlignment="0" applyProtection="0"/>
    <xf numFmtId="169" fontId="112" fillId="0" borderId="0" applyFont="0" applyFill="0" applyBorder="0" applyAlignment="0" applyProtection="0"/>
    <xf numFmtId="169" fontId="112" fillId="0" borderId="0" applyFont="0" applyFill="0" applyBorder="0" applyAlignment="0" applyProtection="0"/>
    <xf numFmtId="291" fontId="72" fillId="0" borderId="0" applyFont="0" applyFill="0" applyBorder="0" applyAlignment="0" applyProtection="0"/>
    <xf numFmtId="291" fontId="72" fillId="0" borderId="0" applyFont="0" applyFill="0" applyBorder="0" applyAlignment="0" applyProtection="0"/>
    <xf numFmtId="175" fontId="111" fillId="0" borderId="0" applyFont="0" applyFill="0" applyBorder="0" applyAlignment="0" applyProtection="0"/>
    <xf numFmtId="175" fontId="111" fillId="0" borderId="0" applyFont="0" applyFill="0" applyBorder="0" applyAlignment="0" applyProtection="0"/>
    <xf numFmtId="291" fontId="72" fillId="0" borderId="0" applyFont="0" applyFill="0" applyBorder="0" applyAlignment="0" applyProtection="0"/>
    <xf numFmtId="291" fontId="72" fillId="0" borderId="0" applyFont="0" applyFill="0" applyBorder="0" applyAlignment="0" applyProtection="0"/>
    <xf numFmtId="258" fontId="18" fillId="0" borderId="0" applyFont="0" applyFill="0" applyBorder="0" applyAlignment="0" applyProtection="0"/>
    <xf numFmtId="258" fontId="18" fillId="0" borderId="0" applyFont="0" applyFill="0" applyBorder="0" applyAlignment="0" applyProtection="0"/>
    <xf numFmtId="292" fontId="18" fillId="0" borderId="0" applyFont="0" applyFill="0" applyBorder="0" applyAlignment="0" applyProtection="0"/>
    <xf numFmtId="292" fontId="18" fillId="0" borderId="0" applyFont="0" applyFill="0" applyBorder="0" applyAlignment="0" applyProtection="0"/>
    <xf numFmtId="169" fontId="111" fillId="0" borderId="0" applyFont="0" applyFill="0" applyBorder="0" applyAlignment="0" applyProtection="0"/>
    <xf numFmtId="169" fontId="111" fillId="0" borderId="0" applyFont="0" applyFill="0" applyBorder="0" applyAlignment="0" applyProtection="0"/>
    <xf numFmtId="169" fontId="111" fillId="0" borderId="0" applyFont="0" applyFill="0" applyBorder="0" applyAlignment="0" applyProtection="0"/>
    <xf numFmtId="169" fontId="111" fillId="0" borderId="0" applyFont="0" applyFill="0" applyBorder="0" applyAlignment="0" applyProtection="0"/>
    <xf numFmtId="169" fontId="111" fillId="0" borderId="0" applyFont="0" applyFill="0" applyBorder="0" applyAlignment="0" applyProtection="0"/>
    <xf numFmtId="169" fontId="111" fillId="0" borderId="0" applyFont="0" applyFill="0" applyBorder="0" applyAlignment="0" applyProtection="0"/>
    <xf numFmtId="169" fontId="112" fillId="0" borderId="0" applyFont="0" applyFill="0" applyBorder="0" applyAlignment="0" applyProtection="0"/>
    <xf numFmtId="169" fontId="112" fillId="0" borderId="0" applyFont="0" applyFill="0" applyBorder="0" applyAlignment="0" applyProtection="0"/>
    <xf numFmtId="43" fontId="111" fillId="0" borderId="0" applyFont="0" applyFill="0" applyBorder="0" applyAlignment="0" applyProtection="0"/>
    <xf numFmtId="169"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169" fontId="111" fillId="0" borderId="0" applyFont="0" applyFill="0" applyBorder="0" applyAlignment="0" applyProtection="0"/>
    <xf numFmtId="175" fontId="111" fillId="0" borderId="0" applyFont="0" applyFill="0" applyBorder="0" applyAlignment="0" applyProtection="0"/>
    <xf numFmtId="169" fontId="111" fillId="0" borderId="0" applyFont="0" applyFill="0" applyBorder="0" applyAlignment="0" applyProtection="0"/>
    <xf numFmtId="175" fontId="111" fillId="0" borderId="0" applyFont="0" applyFill="0" applyBorder="0" applyAlignment="0" applyProtection="0"/>
    <xf numFmtId="169" fontId="111" fillId="0" borderId="0" applyFont="0" applyFill="0" applyBorder="0" applyAlignment="0" applyProtection="0"/>
    <xf numFmtId="169"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169" fontId="111" fillId="0" borderId="0" applyFont="0" applyFill="0" applyBorder="0" applyAlignment="0" applyProtection="0"/>
    <xf numFmtId="3" fontId="18" fillId="0" borderId="0" applyFont="0" applyBorder="0" applyAlignment="0"/>
    <xf numFmtId="0" fontId="72"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28" fontId="9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36" fontId="9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8" fontId="9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28" fontId="9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0" fontId="113" fillId="0" borderId="0" applyNumberFormat="0" applyAlignment="0">
      <alignment horizontal="left"/>
    </xf>
    <xf numFmtId="0" fontId="114" fillId="0" borderId="0"/>
    <xf numFmtId="293" fontId="11" fillId="0" borderId="0" applyFont="0" applyFill="0" applyBorder="0" applyAlignment="0" applyProtection="0"/>
    <xf numFmtId="293" fontId="11" fillId="0" borderId="0" applyFont="0" applyFill="0" applyBorder="0" applyAlignment="0" applyProtection="0"/>
    <xf numFmtId="293" fontId="11" fillId="0" borderId="0" applyFont="0" applyFill="0" applyBorder="0" applyAlignment="0" applyProtection="0"/>
    <xf numFmtId="293" fontId="11" fillId="0" borderId="0" applyFont="0" applyFill="0" applyBorder="0" applyAlignment="0" applyProtection="0"/>
    <xf numFmtId="293" fontId="11" fillId="0" borderId="0" applyFont="0" applyFill="0" applyBorder="0" applyAlignment="0" applyProtection="0"/>
    <xf numFmtId="293" fontId="11" fillId="0" borderId="0" applyFont="0" applyFill="0" applyBorder="0" applyAlignment="0" applyProtection="0"/>
    <xf numFmtId="293" fontId="11" fillId="0" borderId="0" applyFont="0" applyFill="0" applyBorder="0" applyAlignment="0" applyProtection="0"/>
    <xf numFmtId="293" fontId="11" fillId="0" borderId="0" applyFont="0" applyFill="0" applyBorder="0" applyAlignment="0" applyProtection="0"/>
    <xf numFmtId="293" fontId="11" fillId="0" borderId="0" applyFont="0" applyFill="0" applyBorder="0" applyAlignment="0" applyProtection="0"/>
    <xf numFmtId="293" fontId="11" fillId="0" borderId="0" applyFont="0" applyFill="0" applyBorder="0" applyAlignment="0" applyProtection="0"/>
    <xf numFmtId="293" fontId="11" fillId="0" borderId="0" applyFont="0" applyFill="0" applyBorder="0" applyAlignment="0" applyProtection="0"/>
    <xf numFmtId="293" fontId="11" fillId="0" borderId="0" applyFont="0" applyFill="0" applyBorder="0" applyAlignment="0" applyProtection="0"/>
    <xf numFmtId="293" fontId="11" fillId="0" borderId="0" applyFont="0" applyFill="0" applyBorder="0" applyAlignment="0" applyProtection="0"/>
    <xf numFmtId="293" fontId="11" fillId="0" borderId="0" applyFont="0" applyFill="0" applyBorder="0" applyAlignment="0" applyProtection="0"/>
    <xf numFmtId="293" fontId="11" fillId="0" borderId="0" applyFont="0" applyFill="0" applyBorder="0" applyAlignment="0" applyProtection="0"/>
    <xf numFmtId="0" fontId="115" fillId="0" borderId="0"/>
    <xf numFmtId="0" fontId="116" fillId="0" borderId="0" applyNumberFormat="0" applyFill="0" applyBorder="0" applyAlignment="0" applyProtection="0"/>
    <xf numFmtId="3" fontId="18" fillId="0" borderId="0" applyFont="0" applyBorder="0" applyAlignment="0"/>
    <xf numFmtId="0" fontId="11" fillId="0" borderId="0"/>
    <xf numFmtId="0" fontId="11" fillId="0" borderId="0"/>
    <xf numFmtId="0" fontId="11" fillId="0" borderId="0"/>
    <xf numFmtId="2" fontId="11" fillId="0" borderId="0" applyFont="0" applyFill="0" applyBorder="0" applyAlignment="0" applyProtection="0"/>
    <xf numFmtId="2" fontId="11" fillId="0" borderId="0" applyFont="0" applyFill="0" applyBorder="0" applyAlignment="0" applyProtection="0"/>
    <xf numFmtId="2" fontId="11" fillId="0" borderId="0" applyFont="0" applyFill="0" applyBorder="0" applyAlignment="0" applyProtection="0"/>
    <xf numFmtId="2" fontId="11" fillId="0" borderId="0" applyFont="0" applyFill="0" applyBorder="0" applyAlignment="0" applyProtection="0"/>
    <xf numFmtId="2" fontId="11" fillId="0" borderId="0" applyFont="0" applyFill="0" applyBorder="0" applyAlignment="0" applyProtection="0"/>
    <xf numFmtId="2" fontId="11" fillId="0" borderId="0" applyFont="0" applyFill="0" applyBorder="0" applyAlignment="0" applyProtection="0"/>
    <xf numFmtId="2" fontId="11" fillId="0" borderId="0" applyFont="0" applyFill="0" applyBorder="0" applyAlignment="0" applyProtection="0"/>
    <xf numFmtId="2" fontId="11" fillId="0" borderId="0" applyFont="0" applyFill="0" applyBorder="0" applyAlignment="0" applyProtection="0"/>
    <xf numFmtId="2" fontId="11" fillId="0" borderId="0" applyFont="0" applyFill="0" applyBorder="0" applyAlignment="0" applyProtection="0"/>
    <xf numFmtId="2" fontId="40" fillId="0" borderId="0" applyProtection="0"/>
    <xf numFmtId="2" fontId="11" fillId="0" borderId="0" applyFont="0" applyFill="0" applyBorder="0" applyAlignment="0" applyProtection="0"/>
    <xf numFmtId="2" fontId="11" fillId="0" borderId="0" applyFont="0" applyFill="0" applyBorder="0" applyAlignment="0" applyProtection="0"/>
    <xf numFmtId="2" fontId="11" fillId="0" borderId="0" applyFont="0" applyFill="0" applyBorder="0" applyAlignment="0" applyProtection="0"/>
    <xf numFmtId="2" fontId="11" fillId="0" borderId="0" applyFont="0" applyFill="0" applyBorder="0" applyAlignment="0" applyProtection="0"/>
    <xf numFmtId="2" fontId="11" fillId="0" borderId="0" applyFont="0" applyFill="0" applyBorder="0" applyAlignment="0" applyProtection="0"/>
    <xf numFmtId="2" fontId="11" fillId="0" borderId="0" applyFont="0" applyFill="0" applyBorder="0" applyAlignment="0" applyProtection="0"/>
    <xf numFmtId="2" fontId="11" fillId="0" borderId="0" applyFont="0" applyFill="0" applyBorder="0" applyAlignment="0" applyProtection="0"/>
    <xf numFmtId="0" fontId="117" fillId="0" borderId="0" applyNumberFormat="0" applyFill="0" applyBorder="0" applyAlignment="0" applyProtection="0"/>
    <xf numFmtId="0" fontId="118" fillId="0" borderId="0" applyNumberFormat="0" applyFill="0" applyBorder="0" applyProtection="0">
      <alignment vertical="center"/>
    </xf>
    <xf numFmtId="0" fontId="119" fillId="0" borderId="0" applyNumberFormat="0" applyFill="0" applyBorder="0" applyAlignment="0" applyProtection="0"/>
    <xf numFmtId="0" fontId="120" fillId="0" borderId="0" applyNumberFormat="0" applyFill="0" applyBorder="0" applyProtection="0">
      <alignment vertical="center"/>
    </xf>
    <xf numFmtId="0" fontId="121" fillId="0" borderId="0" applyNumberFormat="0" applyFill="0" applyBorder="0" applyAlignment="0" applyProtection="0"/>
    <xf numFmtId="0" fontId="122" fillId="0" borderId="0" applyNumberFormat="0" applyFill="0" applyBorder="0" applyAlignment="0" applyProtection="0"/>
    <xf numFmtId="294" fontId="123" fillId="0" borderId="22" applyNumberFormat="0" applyFill="0" applyBorder="0" applyAlignment="0" applyProtection="0"/>
    <xf numFmtId="0" fontId="124" fillId="0" borderId="0" applyNumberFormat="0" applyFill="0" applyBorder="0" applyAlignment="0" applyProtection="0"/>
    <xf numFmtId="0" fontId="125" fillId="0" borderId="0">
      <alignment vertical="top" wrapText="1"/>
    </xf>
    <xf numFmtId="0" fontId="126" fillId="8" borderId="0" applyNumberFormat="0" applyBorder="0" applyAlignment="0" applyProtection="0"/>
    <xf numFmtId="38" fontId="127" fillId="4" borderId="0" applyNumberFormat="0" applyBorder="0" applyAlignment="0" applyProtection="0"/>
    <xf numFmtId="38" fontId="127" fillId="26" borderId="0" applyNumberFormat="0" applyBorder="0" applyAlignment="0" applyProtection="0"/>
    <xf numFmtId="38" fontId="127" fillId="26" borderId="0" applyNumberFormat="0" applyBorder="0" applyAlignment="0" applyProtection="0"/>
    <xf numFmtId="38" fontId="127" fillId="26" borderId="0" applyNumberFormat="0" applyBorder="0" applyAlignment="0" applyProtection="0"/>
    <xf numFmtId="38" fontId="127" fillId="26" borderId="0" applyNumberFormat="0" applyBorder="0" applyAlignment="0" applyProtection="0"/>
    <xf numFmtId="38" fontId="127" fillId="26" borderId="0" applyNumberFormat="0" applyBorder="0" applyAlignment="0" applyProtection="0"/>
    <xf numFmtId="38" fontId="127" fillId="26" borderId="0" applyNumberFormat="0" applyBorder="0" applyAlignment="0" applyProtection="0"/>
    <xf numFmtId="38" fontId="127" fillId="4" borderId="0" applyNumberFormat="0" applyBorder="0" applyAlignment="0" applyProtection="0"/>
    <xf numFmtId="38" fontId="127" fillId="26" borderId="0" applyNumberFormat="0" applyBorder="0" applyAlignment="0" applyProtection="0"/>
    <xf numFmtId="38" fontId="127" fillId="26" borderId="0" applyNumberFormat="0" applyBorder="0" applyAlignment="0" applyProtection="0"/>
    <xf numFmtId="38" fontId="127" fillId="26" borderId="0" applyNumberFormat="0" applyBorder="0" applyAlignment="0" applyProtection="0"/>
    <xf numFmtId="38" fontId="127" fillId="26" borderId="0" applyNumberFormat="0" applyBorder="0" applyAlignment="0" applyProtection="0"/>
    <xf numFmtId="38" fontId="127" fillId="26" borderId="0" applyNumberFormat="0" applyBorder="0" applyAlignment="0" applyProtection="0"/>
    <xf numFmtId="38" fontId="127" fillId="26" borderId="0" applyNumberFormat="0" applyBorder="0" applyAlignment="0" applyProtection="0"/>
    <xf numFmtId="38" fontId="127" fillId="26" borderId="0" applyNumberFormat="0" applyBorder="0" applyAlignment="0" applyProtection="0"/>
    <xf numFmtId="38" fontId="127" fillId="26" borderId="0" applyNumberFormat="0" applyBorder="0" applyAlignment="0" applyProtection="0"/>
    <xf numFmtId="38" fontId="127" fillId="26" borderId="0" applyNumberFormat="0" applyBorder="0" applyAlignment="0" applyProtection="0"/>
    <xf numFmtId="295" fontId="128" fillId="4" borderId="0" applyBorder="0" applyProtection="0"/>
    <xf numFmtId="0" fontId="129" fillId="0" borderId="23" applyNumberFormat="0" applyFill="0" applyBorder="0" applyAlignment="0" applyProtection="0">
      <alignment horizontal="center" vertical="center"/>
    </xf>
    <xf numFmtId="0" fontId="130" fillId="0" borderId="0" applyNumberFormat="0" applyFont="0" applyBorder="0" applyAlignment="0">
      <alignment horizontal="left" vertical="center"/>
    </xf>
    <xf numFmtId="296" fontId="87" fillId="0" borderId="0" applyFont="0" applyFill="0" applyBorder="0" applyAlignment="0" applyProtection="0"/>
    <xf numFmtId="0" fontId="131" fillId="27" borderId="0"/>
    <xf numFmtId="0" fontId="132" fillId="0" borderId="0">
      <alignment horizontal="left"/>
    </xf>
    <xf numFmtId="0" fontId="133" fillId="0" borderId="0">
      <alignment horizontal="left"/>
    </xf>
    <xf numFmtId="0" fontId="35" fillId="0" borderId="24" applyNumberFormat="0" applyAlignment="0" applyProtection="0">
      <alignment horizontal="left" vertical="center"/>
    </xf>
    <xf numFmtId="0" fontId="35" fillId="0" borderId="24" applyNumberFormat="0" applyAlignment="0" applyProtection="0">
      <alignment horizontal="left" vertical="center"/>
    </xf>
    <xf numFmtId="0" fontId="35" fillId="0" borderId="6">
      <alignment horizontal="left" vertical="center"/>
    </xf>
    <xf numFmtId="0" fontId="35" fillId="0" borderId="6">
      <alignment horizontal="left" vertical="center"/>
    </xf>
    <xf numFmtId="14" fontId="16" fillId="28" borderId="25">
      <alignment horizontal="center" vertical="center" wrapText="1"/>
    </xf>
    <xf numFmtId="0" fontId="134" fillId="0" borderId="26" applyNumberFormat="0" applyFill="0" applyAlignment="0" applyProtection="0"/>
    <xf numFmtId="0" fontId="135" fillId="0" borderId="27" applyNumberFormat="0" applyFill="0" applyAlignment="0" applyProtection="0"/>
    <xf numFmtId="0" fontId="136" fillId="0" borderId="28" applyNumberFormat="0" applyFill="0" applyAlignment="0" applyProtection="0"/>
    <xf numFmtId="0" fontId="136" fillId="0" borderId="0" applyNumberFormat="0" applyFill="0" applyBorder="0" applyAlignment="0" applyProtection="0"/>
    <xf numFmtId="0" fontId="95" fillId="0" borderId="0" applyFill="0" applyAlignment="0" applyProtection="0">
      <protection locked="0"/>
    </xf>
    <xf numFmtId="0" fontId="95" fillId="0" borderId="8" applyFill="0" applyAlignment="0" applyProtection="0">
      <protection locked="0"/>
    </xf>
    <xf numFmtId="0" fontId="137" fillId="0" borderId="0" applyProtection="0"/>
    <xf numFmtId="0" fontId="35" fillId="0" borderId="0" applyProtection="0"/>
    <xf numFmtId="0" fontId="138" fillId="0" borderId="25">
      <alignment horizontal="center"/>
    </xf>
    <xf numFmtId="0" fontId="138" fillId="0" borderId="0">
      <alignment horizontal="center"/>
    </xf>
    <xf numFmtId="164" fontId="139" fillId="29" borderId="1" applyNumberFormat="0" applyAlignment="0">
      <alignment horizontal="left" vertical="top"/>
    </xf>
    <xf numFmtId="164" fontId="139" fillId="29" borderId="1" applyNumberFormat="0" applyAlignment="0">
      <alignment horizontal="left" vertical="top"/>
    </xf>
    <xf numFmtId="297" fontId="139" fillId="29" borderId="1" applyNumberFormat="0" applyAlignment="0">
      <alignment horizontal="left" vertical="top"/>
    </xf>
    <xf numFmtId="49" fontId="140" fillId="0" borderId="1">
      <alignment vertical="center"/>
    </xf>
    <xf numFmtId="49" fontId="140" fillId="0" borderId="1">
      <alignment vertical="center"/>
    </xf>
    <xf numFmtId="0" fontId="12" fillId="0" borderId="0"/>
    <xf numFmtId="193" fontId="18" fillId="0" borderId="0" applyFont="0" applyFill="0" applyBorder="0" applyAlignment="0" applyProtection="0"/>
    <xf numFmtId="38" fontId="30" fillId="0" borderId="0" applyFont="0" applyFill="0" applyBorder="0" applyAlignment="0" applyProtection="0"/>
    <xf numFmtId="167" fontId="42" fillId="0" borderId="0" applyFont="0" applyFill="0" applyBorder="0" applyAlignment="0" applyProtection="0"/>
    <xf numFmtId="216" fontId="42" fillId="0" borderId="0" applyFont="0" applyFill="0" applyBorder="0" applyAlignment="0" applyProtection="0"/>
    <xf numFmtId="298" fontId="141" fillId="0" borderId="0" applyFont="0" applyFill="0" applyBorder="0" applyAlignment="0" applyProtection="0"/>
    <xf numFmtId="10" fontId="127" fillId="30" borderId="1" applyNumberFormat="0" applyBorder="0" applyAlignment="0" applyProtection="0"/>
    <xf numFmtId="10" fontId="127" fillId="26" borderId="1" applyNumberFormat="0" applyBorder="0" applyAlignment="0" applyProtection="0"/>
    <xf numFmtId="10" fontId="127" fillId="26" borderId="1" applyNumberFormat="0" applyBorder="0" applyAlignment="0" applyProtection="0"/>
    <xf numFmtId="10" fontId="127" fillId="26" borderId="1" applyNumberFormat="0" applyBorder="0" applyAlignment="0" applyProtection="0"/>
    <xf numFmtId="10" fontId="127" fillId="26" borderId="1" applyNumberFormat="0" applyBorder="0" applyAlignment="0" applyProtection="0"/>
    <xf numFmtId="10" fontId="127" fillId="26" borderId="1" applyNumberFormat="0" applyBorder="0" applyAlignment="0" applyProtection="0"/>
    <xf numFmtId="10" fontId="127" fillId="26" borderId="1" applyNumberFormat="0" applyBorder="0" applyAlignment="0" applyProtection="0"/>
    <xf numFmtId="10" fontId="127" fillId="30" borderId="1" applyNumberFormat="0" applyBorder="0" applyAlignment="0" applyProtection="0"/>
    <xf numFmtId="10" fontId="127" fillId="30" borderId="1" applyNumberFormat="0" applyBorder="0" applyAlignment="0" applyProtection="0"/>
    <xf numFmtId="10" fontId="127" fillId="26" borderId="1" applyNumberFormat="0" applyBorder="0" applyAlignment="0" applyProtection="0"/>
    <xf numFmtId="10" fontId="127" fillId="26" borderId="1" applyNumberFormat="0" applyBorder="0" applyAlignment="0" applyProtection="0"/>
    <xf numFmtId="10" fontId="127" fillId="26" borderId="1" applyNumberFormat="0" applyBorder="0" applyAlignment="0" applyProtection="0"/>
    <xf numFmtId="10" fontId="127" fillId="26" borderId="1" applyNumberFormat="0" applyBorder="0" applyAlignment="0" applyProtection="0"/>
    <xf numFmtId="10" fontId="127" fillId="26" borderId="1" applyNumberFormat="0" applyBorder="0" applyAlignment="0" applyProtection="0"/>
    <xf numFmtId="10" fontId="127" fillId="26" borderId="1" applyNumberFormat="0" applyBorder="0" applyAlignment="0" applyProtection="0"/>
    <xf numFmtId="10" fontId="127" fillId="26" borderId="1" applyNumberFormat="0" applyBorder="0" applyAlignment="0" applyProtection="0"/>
    <xf numFmtId="10" fontId="127" fillId="26" borderId="1" applyNumberFormat="0" applyBorder="0" applyAlignment="0" applyProtection="0"/>
    <xf numFmtId="10" fontId="127" fillId="26" borderId="1" applyNumberFormat="0" applyBorder="0" applyAlignment="0" applyProtection="0"/>
    <xf numFmtId="0" fontId="142" fillId="11" borderId="17" applyNumberFormat="0" applyAlignment="0" applyProtection="0"/>
    <xf numFmtId="0" fontId="142" fillId="11" borderId="17" applyNumberFormat="0" applyAlignment="0" applyProtection="0"/>
    <xf numFmtId="0" fontId="142" fillId="11" borderId="17" applyNumberFormat="0" applyAlignment="0" applyProtection="0"/>
    <xf numFmtId="0" fontId="142" fillId="11" borderId="17" applyNumberFormat="0" applyAlignment="0" applyProtection="0"/>
    <xf numFmtId="0" fontId="142" fillId="11" borderId="17" applyNumberFormat="0" applyAlignment="0" applyProtection="0"/>
    <xf numFmtId="0" fontId="142" fillId="11" borderId="17" applyNumberFormat="0" applyAlignment="0" applyProtection="0"/>
    <xf numFmtId="0" fontId="143"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5"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193" fontId="18" fillId="0" borderId="0" applyFont="0" applyFill="0" applyBorder="0" applyAlignment="0" applyProtection="0"/>
    <xf numFmtId="0" fontId="18" fillId="0" borderId="0"/>
    <xf numFmtId="0" fontId="80" fillId="0" borderId="29">
      <alignment horizontal="centerContinuous"/>
    </xf>
    <xf numFmtId="0" fontId="12" fillId="0" borderId="0" applyNumberFormat="0" applyFont="0" applyFill="0" applyBorder="0" applyProtection="0">
      <alignment horizontal="left" vertical="center"/>
    </xf>
    <xf numFmtId="0" fontId="30" fillId="0" borderId="0"/>
    <xf numFmtId="0" fontId="72"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28" fontId="9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36" fontId="9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8" fontId="9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28" fontId="9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0" fontId="146" fillId="0" borderId="30" applyNumberFormat="0" applyFill="0" applyAlignment="0" applyProtection="0"/>
    <xf numFmtId="3" fontId="147" fillId="0" borderId="3" applyNumberFormat="0" applyAlignment="0">
      <alignment horizontal="center" vertical="center"/>
    </xf>
    <xf numFmtId="3" fontId="66" fillId="0" borderId="3" applyNumberFormat="0" applyAlignment="0">
      <alignment horizontal="center" vertical="center"/>
    </xf>
    <xf numFmtId="3" fontId="139" fillId="0" borderId="3" applyNumberFormat="0" applyAlignment="0">
      <alignment horizontal="center" vertical="center"/>
    </xf>
    <xf numFmtId="186" fontId="148" fillId="0" borderId="31" applyNumberFormat="0" applyFont="0" applyFill="0" applyBorder="0">
      <alignment horizontal="center"/>
    </xf>
    <xf numFmtId="186" fontId="148" fillId="0" borderId="31" applyNumberFormat="0" applyFont="0" applyFill="0" applyBorder="0">
      <alignment horizontal="center"/>
    </xf>
    <xf numFmtId="38" fontId="30" fillId="0" borderId="0" applyFont="0" applyFill="0" applyBorder="0" applyAlignment="0" applyProtection="0"/>
    <xf numFmtId="40" fontId="30" fillId="0" borderId="0" applyFont="0" applyFill="0" applyBorder="0" applyAlignment="0" applyProtection="0"/>
    <xf numFmtId="193" fontId="72" fillId="0" borderId="0" applyFont="0" applyFill="0" applyBorder="0" applyAlignment="0" applyProtection="0"/>
    <xf numFmtId="175" fontId="72" fillId="0" borderId="0" applyFont="0" applyFill="0" applyBorder="0" applyAlignment="0" applyProtection="0"/>
    <xf numFmtId="0" fontId="149" fillId="0" borderId="25"/>
    <xf numFmtId="0" fontId="150" fillId="0" borderId="25"/>
    <xf numFmtId="299" fontId="72" fillId="0" borderId="31"/>
    <xf numFmtId="299" fontId="72" fillId="0" borderId="31"/>
    <xf numFmtId="300" fontId="151" fillId="0" borderId="31"/>
    <xf numFmtId="301" fontId="17" fillId="0" borderId="0" applyFont="0" applyFill="0" applyBorder="0" applyAlignment="0" applyProtection="0"/>
    <xf numFmtId="302" fontId="17" fillId="0" borderId="0" applyFont="0" applyFill="0" applyBorder="0" applyAlignment="0" applyProtection="0"/>
    <xf numFmtId="303" fontId="72" fillId="0" borderId="0" applyFont="0" applyFill="0" applyBorder="0" applyAlignment="0" applyProtection="0"/>
    <xf numFmtId="304" fontId="72" fillId="0" borderId="0" applyFont="0" applyFill="0" applyBorder="0" applyAlignment="0" applyProtection="0"/>
    <xf numFmtId="0" fontId="58" fillId="0" borderId="0" applyNumberFormat="0" applyFont="0" applyFill="0" applyAlignment="0"/>
    <xf numFmtId="0" fontId="152" fillId="31" borderId="0" applyNumberFormat="0" applyBorder="0" applyAlignment="0" applyProtection="0"/>
    <xf numFmtId="0" fontId="87" fillId="0" borderId="1"/>
    <xf numFmtId="0" fontId="12" fillId="0" borderId="0"/>
    <xf numFmtId="0" fontId="41" fillId="0" borderId="32" applyNumberFormat="0" applyAlignment="0">
      <alignment horizontal="center"/>
    </xf>
    <xf numFmtId="37" fontId="153" fillId="0" borderId="0"/>
    <xf numFmtId="37" fontId="153" fillId="0" borderId="0"/>
    <xf numFmtId="37" fontId="153" fillId="0" borderId="0"/>
    <xf numFmtId="0" fontId="154" fillId="0" borderId="1" applyNumberFormat="0" applyFont="0" applyFill="0" applyBorder="0" applyAlignment="0">
      <alignment horizontal="center"/>
    </xf>
    <xf numFmtId="0" fontId="154" fillId="0" borderId="1" applyNumberFormat="0" applyFont="0" applyFill="0" applyBorder="0" applyAlignment="0">
      <alignment horizontal="center"/>
    </xf>
    <xf numFmtId="305" fontId="155" fillId="0" borderId="0"/>
    <xf numFmtId="0" fontId="156" fillId="0" borderId="0"/>
    <xf numFmtId="0" fontId="11" fillId="0" borderId="0"/>
    <xf numFmtId="0" fontId="157" fillId="0" borderId="0"/>
    <xf numFmtId="0" fontId="158" fillId="0" borderId="0"/>
    <xf numFmtId="0" fontId="10" fillId="0" borderId="0"/>
    <xf numFmtId="0" fontId="15" fillId="0" borderId="0"/>
    <xf numFmtId="0" fontId="11" fillId="0" borderId="0"/>
    <xf numFmtId="0" fontId="159" fillId="0" borderId="0"/>
    <xf numFmtId="0" fontId="72" fillId="0" borderId="0"/>
    <xf numFmtId="0" fontId="13" fillId="0" borderId="0"/>
    <xf numFmtId="0" fontId="4" fillId="0" borderId="0"/>
    <xf numFmtId="0" fontId="4" fillId="0" borderId="0"/>
    <xf numFmtId="0" fontId="4" fillId="0" borderId="0"/>
    <xf numFmtId="0" fontId="4" fillId="0" borderId="0"/>
    <xf numFmtId="0" fontId="61" fillId="0" borderId="0"/>
    <xf numFmtId="0" fontId="10" fillId="0" borderId="0"/>
    <xf numFmtId="0" fontId="15" fillId="0" borderId="0"/>
    <xf numFmtId="0" fontId="11" fillId="0" borderId="0"/>
    <xf numFmtId="0" fontId="10" fillId="0" borderId="0"/>
    <xf numFmtId="0" fontId="160" fillId="0" borderId="0"/>
    <xf numFmtId="0" fontId="72" fillId="0" borderId="0"/>
    <xf numFmtId="0" fontId="10" fillId="0" borderId="0"/>
    <xf numFmtId="0" fontId="11" fillId="0" borderId="0"/>
    <xf numFmtId="0" fontId="13" fillId="0" borderId="0"/>
    <xf numFmtId="0" fontId="58" fillId="0" borderId="0"/>
    <xf numFmtId="0" fontId="40" fillId="0" borderId="0"/>
    <xf numFmtId="0" fontId="11" fillId="0" borderId="0"/>
    <xf numFmtId="0" fontId="4" fillId="0" borderId="0"/>
    <xf numFmtId="0" fontId="4" fillId="0" borderId="0"/>
    <xf numFmtId="0" fontId="4" fillId="0" borderId="0"/>
    <xf numFmtId="0" fontId="4" fillId="0" borderId="0"/>
    <xf numFmtId="0" fontId="40" fillId="0" borderId="0" applyProtection="0"/>
    <xf numFmtId="0" fontId="11" fillId="0" borderId="0"/>
    <xf numFmtId="0" fontId="4" fillId="0" borderId="0"/>
    <xf numFmtId="0" fontId="4" fillId="0" borderId="0"/>
    <xf numFmtId="0" fontId="4" fillId="0" borderId="0"/>
    <xf numFmtId="0" fontId="4" fillId="0" borderId="0"/>
    <xf numFmtId="0" fontId="11"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0" fillId="0" borderId="0"/>
    <xf numFmtId="0" fontId="40" fillId="0" borderId="0"/>
    <xf numFmtId="0" fontId="11" fillId="0" borderId="0"/>
    <xf numFmtId="0" fontId="11" fillId="0" borderId="0"/>
    <xf numFmtId="0" fontId="10" fillId="0" borderId="0"/>
    <xf numFmtId="0" fontId="11" fillId="0" borderId="0"/>
    <xf numFmtId="0" fontId="11" fillId="0" borderId="0"/>
    <xf numFmtId="0" fontId="10" fillId="0" borderId="0"/>
    <xf numFmtId="0" fontId="13" fillId="0" borderId="0"/>
    <xf numFmtId="0" fontId="10" fillId="0" borderId="0"/>
    <xf numFmtId="0" fontId="13" fillId="0" borderId="0"/>
    <xf numFmtId="0" fontId="41" fillId="0" borderId="0"/>
    <xf numFmtId="0" fontId="13" fillId="0" borderId="0"/>
    <xf numFmtId="0" fontId="10" fillId="0" borderId="0"/>
    <xf numFmtId="0" fontId="10" fillId="0" borderId="0"/>
    <xf numFmtId="0" fontId="10" fillId="0" borderId="0"/>
    <xf numFmtId="0" fontId="10"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3" fillId="0" borderId="0"/>
    <xf numFmtId="0" fontId="13" fillId="0" borderId="0"/>
    <xf numFmtId="0" fontId="10" fillId="0" borderId="0"/>
    <xf numFmtId="0" fontId="161" fillId="0" borderId="0"/>
    <xf numFmtId="0" fontId="161" fillId="0" borderId="0"/>
    <xf numFmtId="0" fontId="161" fillId="0" borderId="0"/>
    <xf numFmtId="0" fontId="159" fillId="0" borderId="0"/>
    <xf numFmtId="0" fontId="40" fillId="0" borderId="0" applyProtection="0"/>
    <xf numFmtId="0" fontId="4" fillId="0" borderId="0"/>
    <xf numFmtId="0" fontId="12" fillId="0" borderId="0"/>
    <xf numFmtId="0" fontId="10" fillId="0" borderId="0"/>
    <xf numFmtId="0" fontId="10" fillId="0" borderId="0"/>
    <xf numFmtId="0" fontId="162" fillId="0" borderId="0"/>
    <xf numFmtId="0" fontId="10" fillId="0" borderId="0"/>
    <xf numFmtId="0" fontId="18" fillId="0" borderId="0"/>
    <xf numFmtId="0" fontId="13" fillId="0" borderId="0"/>
    <xf numFmtId="0" fontId="10" fillId="0" borderId="0"/>
    <xf numFmtId="0" fontId="13" fillId="0" borderId="0"/>
    <xf numFmtId="0" fontId="14" fillId="0" borderId="0"/>
    <xf numFmtId="0" fontId="13" fillId="0" borderId="0"/>
    <xf numFmtId="0" fontId="14" fillId="0" borderId="0"/>
    <xf numFmtId="0" fontId="13" fillId="0" borderId="0"/>
    <xf numFmtId="0" fontId="14" fillId="0" borderId="0"/>
    <xf numFmtId="0" fontId="13" fillId="0" borderId="0"/>
    <xf numFmtId="0" fontId="14" fillId="0" borderId="0"/>
    <xf numFmtId="0" fontId="13" fillId="0" borderId="0"/>
    <xf numFmtId="0" fontId="41" fillId="0" borderId="0"/>
    <xf numFmtId="0" fontId="10" fillId="0" borderId="0"/>
    <xf numFmtId="0" fontId="161" fillId="0" borderId="0"/>
    <xf numFmtId="0" fontId="11" fillId="0" borderId="0"/>
    <xf numFmtId="0" fontId="161" fillId="0" borderId="0"/>
    <xf numFmtId="0" fontId="11" fillId="0" borderId="0"/>
    <xf numFmtId="0" fontId="40" fillId="0" borderId="0"/>
    <xf numFmtId="0" fontId="40" fillId="0" borderId="0" applyProtection="0"/>
    <xf numFmtId="0" fontId="40" fillId="0" borderId="0"/>
    <xf numFmtId="0" fontId="40" fillId="0" borderId="0" applyProtection="0"/>
    <xf numFmtId="0" fontId="11" fillId="0" borderId="0"/>
    <xf numFmtId="0" fontId="40" fillId="0" borderId="0" applyProtection="0"/>
    <xf numFmtId="0" fontId="58" fillId="0" borderId="0"/>
    <xf numFmtId="0" fontId="11" fillId="0" borderId="0"/>
    <xf numFmtId="0" fontId="40" fillId="0" borderId="0" applyProtection="0"/>
    <xf numFmtId="0" fontId="40" fillId="0" borderId="0"/>
    <xf numFmtId="0" fontId="58" fillId="0" borderId="0"/>
    <xf numFmtId="0" fontId="40" fillId="0" borderId="0" applyProtection="0"/>
    <xf numFmtId="0" fontId="58" fillId="0" borderId="0"/>
    <xf numFmtId="0" fontId="40" fillId="0" borderId="0" applyProtection="0"/>
    <xf numFmtId="0" fontId="10" fillId="0" borderId="0"/>
    <xf numFmtId="0" fontId="40" fillId="0" borderId="0" applyProtection="0"/>
    <xf numFmtId="0" fontId="11" fillId="0" borderId="0"/>
    <xf numFmtId="0" fontId="163" fillId="0" borderId="0"/>
    <xf numFmtId="0" fontId="10" fillId="0" borderId="0"/>
    <xf numFmtId="0" fontId="11" fillId="0" borderId="0"/>
    <xf numFmtId="0" fontId="15" fillId="0" borderId="0"/>
    <xf numFmtId="0" fontId="11" fillId="0" borderId="0"/>
    <xf numFmtId="0" fontId="11" fillId="0" borderId="0"/>
    <xf numFmtId="0" fontId="11" fillId="0" borderId="0"/>
    <xf numFmtId="0" fontId="11" fillId="0" borderId="0"/>
    <xf numFmtId="0" fontId="11" fillId="0" borderId="0"/>
    <xf numFmtId="0" fontId="10" fillId="0" borderId="0"/>
    <xf numFmtId="0" fontId="11" fillId="0" borderId="0"/>
    <xf numFmtId="0" fontId="4" fillId="0" borderId="0"/>
    <xf numFmtId="0" fontId="161" fillId="0" borderId="0"/>
    <xf numFmtId="0" fontId="11" fillId="0" borderId="0"/>
    <xf numFmtId="0" fontId="17" fillId="0" borderId="0"/>
    <xf numFmtId="0" fontId="17" fillId="0" borderId="0" applyProtection="0"/>
    <xf numFmtId="0" fontId="10" fillId="0" borderId="0" applyProtection="0"/>
    <xf numFmtId="0" fontId="4" fillId="0" borderId="0"/>
    <xf numFmtId="0" fontId="4" fillId="0" borderId="0"/>
    <xf numFmtId="0" fontId="4" fillId="0" borderId="0"/>
    <xf numFmtId="0" fontId="4" fillId="0" borderId="0"/>
    <xf numFmtId="0" fontId="4" fillId="0" borderId="0"/>
    <xf numFmtId="0" fontId="72" fillId="0" borderId="0"/>
    <xf numFmtId="0" fontId="11" fillId="0" borderId="0"/>
    <xf numFmtId="0" fontId="17" fillId="0" borderId="0" applyProtection="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0" fillId="0" borderId="0"/>
    <xf numFmtId="0" fontId="4" fillId="0" borderId="0"/>
    <xf numFmtId="0" fontId="4" fillId="0" borderId="0"/>
    <xf numFmtId="0" fontId="40" fillId="0" borderId="0"/>
    <xf numFmtId="0" fontId="21" fillId="0" borderId="0"/>
    <xf numFmtId="0" fontId="40" fillId="0" borderId="0"/>
    <xf numFmtId="0" fontId="40" fillId="0" borderId="0"/>
    <xf numFmtId="0" fontId="40" fillId="0" borderId="0"/>
    <xf numFmtId="0" fontId="164" fillId="0" borderId="0"/>
    <xf numFmtId="0" fontId="164" fillId="0" borderId="0"/>
    <xf numFmtId="0" fontId="10" fillId="0" borderId="0" applyProtection="0"/>
    <xf numFmtId="0" fontId="164" fillId="0" borderId="0"/>
    <xf numFmtId="0" fontId="164" fillId="0" borderId="0"/>
    <xf numFmtId="0" fontId="164" fillId="0" borderId="0"/>
    <xf numFmtId="0" fontId="164" fillId="0" borderId="0"/>
    <xf numFmtId="0" fontId="40" fillId="0" borderId="0"/>
    <xf numFmtId="0" fontId="164" fillId="0" borderId="0"/>
    <xf numFmtId="0" fontId="164" fillId="0" borderId="0"/>
    <xf numFmtId="0" fontId="40" fillId="0" borderId="0"/>
    <xf numFmtId="0" fontId="4" fillId="0" borderId="0"/>
    <xf numFmtId="0" fontId="4" fillId="0" borderId="0"/>
    <xf numFmtId="0" fontId="4" fillId="0" borderId="0"/>
    <xf numFmtId="0" fontId="4" fillId="0" borderId="0"/>
    <xf numFmtId="0" fontId="13" fillId="0" borderId="0"/>
    <xf numFmtId="0" fontId="45" fillId="0" borderId="0"/>
    <xf numFmtId="0" fontId="13" fillId="0" borderId="0"/>
    <xf numFmtId="0" fontId="13" fillId="0" borderId="0"/>
    <xf numFmtId="0" fontId="13" fillId="0" borderId="0"/>
    <xf numFmtId="0" fontId="13" fillId="0" borderId="0"/>
    <xf numFmtId="0" fontId="13" fillId="0" borderId="0"/>
    <xf numFmtId="0" fontId="1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40" fillId="0" borderId="0"/>
    <xf numFmtId="0" fontId="11" fillId="0" borderId="0"/>
    <xf numFmtId="0" fontId="11" fillId="0" borderId="0"/>
    <xf numFmtId="0" fontId="11" fillId="0" borderId="0"/>
    <xf numFmtId="0" fontId="11" fillId="0" borderId="0"/>
    <xf numFmtId="0" fontId="11" fillId="0" borderId="0"/>
    <xf numFmtId="0" fontId="4" fillId="0" borderId="0"/>
    <xf numFmtId="0" fontId="4" fillId="0" borderId="0"/>
    <xf numFmtId="0" fontId="100" fillId="0" borderId="0"/>
    <xf numFmtId="0" fontId="11" fillId="0" borderId="0"/>
    <xf numFmtId="0" fontId="40" fillId="0" borderId="0"/>
    <xf numFmtId="0" fontId="11" fillId="0" borderId="0"/>
    <xf numFmtId="0" fontId="11" fillId="0" borderId="0" applyProtection="0"/>
    <xf numFmtId="0" fontId="40" fillId="0" borderId="0"/>
    <xf numFmtId="0" fontId="40" fillId="0" borderId="0"/>
    <xf numFmtId="0" fontId="4" fillId="0" borderId="0"/>
    <xf numFmtId="0" fontId="4" fillId="0" borderId="0"/>
    <xf numFmtId="0" fontId="4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62" fillId="0" borderId="0"/>
    <xf numFmtId="0" fontId="18" fillId="0" borderId="0"/>
    <xf numFmtId="0" fontId="10" fillId="0" borderId="0"/>
    <xf numFmtId="0" fontId="12" fillId="0" borderId="0"/>
    <xf numFmtId="0" fontId="12" fillId="0" borderId="0"/>
    <xf numFmtId="0" fontId="18" fillId="0" borderId="0"/>
    <xf numFmtId="0" fontId="10" fillId="0" borderId="0"/>
    <xf numFmtId="0" fontId="10" fillId="0" borderId="0"/>
    <xf numFmtId="0" fontId="11" fillId="0" borderId="0"/>
    <xf numFmtId="0" fontId="11" fillId="0" borderId="0"/>
    <xf numFmtId="0" fontId="10" fillId="0" borderId="0"/>
    <xf numFmtId="0" fontId="10" fillId="0" borderId="0"/>
    <xf numFmtId="0" fontId="11" fillId="0" borderId="0"/>
    <xf numFmtId="0" fontId="4" fillId="0" borderId="0"/>
    <xf numFmtId="0" fontId="4" fillId="0" borderId="0"/>
    <xf numFmtId="0" fontId="4" fillId="0" borderId="0"/>
    <xf numFmtId="0" fontId="4" fillId="0" borderId="0"/>
    <xf numFmtId="0" fontId="4"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xf numFmtId="0" fontId="60" fillId="0" borderId="0" applyFont="0"/>
    <xf numFmtId="0" fontId="111" fillId="0" borderId="0"/>
    <xf numFmtId="0" fontId="10" fillId="31" borderId="33" applyNumberFormat="0" applyFont="0" applyAlignment="0" applyProtection="0"/>
    <xf numFmtId="0" fontId="10" fillId="31" borderId="33" applyNumberFormat="0" applyFont="0" applyAlignment="0" applyProtection="0"/>
    <xf numFmtId="0" fontId="10" fillId="31" borderId="33" applyNumberFormat="0" applyFont="0" applyAlignment="0" applyProtection="0"/>
    <xf numFmtId="0" fontId="10" fillId="31" borderId="33" applyNumberFormat="0" applyFont="0" applyAlignment="0" applyProtection="0"/>
    <xf numFmtId="0" fontId="10" fillId="31" borderId="33" applyNumberFormat="0" applyFont="0" applyAlignment="0" applyProtection="0"/>
    <xf numFmtId="0" fontId="10" fillId="31" borderId="33" applyNumberFormat="0" applyFont="0" applyAlignment="0" applyProtection="0"/>
    <xf numFmtId="0" fontId="72" fillId="32" borderId="33" applyNumberFormat="0" applyFont="0" applyAlignment="0" applyProtection="0"/>
    <xf numFmtId="306" fontId="165" fillId="0" borderId="0" applyFont="0" applyFill="0" applyBorder="0" applyProtection="0">
      <alignment vertical="top" wrapText="1"/>
    </xf>
    <xf numFmtId="0" fontId="41" fillId="0" borderId="0"/>
    <xf numFmtId="0" fontId="41" fillId="0" borderId="0"/>
    <xf numFmtId="0" fontId="41" fillId="0" borderId="0" applyProtection="0"/>
    <xf numFmtId="0" fontId="41" fillId="0" borderId="0" applyProtection="0"/>
    <xf numFmtId="3" fontId="166" fillId="0" borderId="0" applyFont="0" applyFill="0" applyBorder="0" applyAlignment="0" applyProtection="0"/>
    <xf numFmtId="193" fontId="59" fillId="0" borderId="0" applyFon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87" fillId="0" borderId="0" applyNumberFormat="0" applyFill="0" applyBorder="0" applyAlignment="0" applyProtection="0"/>
    <xf numFmtId="0" fontId="18" fillId="0" borderId="0" applyNumberFormat="0" applyFill="0" applyBorder="0" applyAlignment="0" applyProtection="0"/>
    <xf numFmtId="0" fontId="95" fillId="0" borderId="0" applyNumberFormat="0" applyFill="0" applyBorder="0" applyAlignment="0" applyProtection="0"/>
    <xf numFmtId="0" fontId="167" fillId="0" borderId="0" applyNumberFormat="0" applyFill="0" applyBorder="0" applyAlignment="0" applyProtection="0"/>
    <xf numFmtId="0" fontId="87" fillId="0" borderId="0" applyNumberFormat="0" applyFill="0" applyBorder="0" applyAlignment="0" applyProtection="0"/>
    <xf numFmtId="0" fontId="18" fillId="0" borderId="0" applyNumberFormat="0" applyFill="0" applyBorder="0" applyAlignment="0" applyProtection="0"/>
    <xf numFmtId="0" fontId="95" fillId="0" borderId="0" applyProtection="0"/>
    <xf numFmtId="0" fontId="11" fillId="0" borderId="0" applyFont="0" applyFill="0" applyBorder="0" applyAlignment="0" applyProtection="0"/>
    <xf numFmtId="0" fontId="12" fillId="0" borderId="0"/>
    <xf numFmtId="0" fontId="168" fillId="24" borderId="34" applyNumberFormat="0" applyAlignment="0" applyProtection="0"/>
    <xf numFmtId="176" fontId="169" fillId="0" borderId="32" applyFont="0" applyBorder="0" applyAlignment="0"/>
    <xf numFmtId="0" fontId="33" fillId="26" borderId="0"/>
    <xf numFmtId="0" fontId="14" fillId="26" borderId="0"/>
    <xf numFmtId="0" fontId="14" fillId="26" borderId="0"/>
    <xf numFmtId="167" fontId="72" fillId="0" borderId="0" applyFont="0" applyFill="0" applyBorder="0" applyAlignment="0" applyProtection="0"/>
    <xf numFmtId="292" fontId="11" fillId="0" borderId="0" applyFont="0" applyFill="0" applyBorder="0" applyAlignment="0" applyProtection="0"/>
    <xf numFmtId="292" fontId="11" fillId="0" borderId="0" applyFont="0" applyFill="0" applyBorder="0" applyAlignment="0" applyProtection="0"/>
    <xf numFmtId="292" fontId="11" fillId="0" borderId="0" applyFont="0" applyFill="0" applyBorder="0" applyAlignment="0" applyProtection="0"/>
    <xf numFmtId="292" fontId="11" fillId="0" borderId="0" applyFont="0" applyFill="0" applyBorder="0" applyAlignment="0" applyProtection="0"/>
    <xf numFmtId="292" fontId="11" fillId="0" borderId="0" applyFont="0" applyFill="0" applyBorder="0" applyAlignment="0" applyProtection="0"/>
    <xf numFmtId="292" fontId="11" fillId="0" borderId="0" applyFont="0" applyFill="0" applyBorder="0" applyAlignment="0" applyProtection="0"/>
    <xf numFmtId="292" fontId="11" fillId="0" borderId="0" applyFont="0" applyFill="0" applyBorder="0" applyAlignment="0" applyProtection="0"/>
    <xf numFmtId="292" fontId="11" fillId="0" borderId="0" applyFont="0" applyFill="0" applyBorder="0" applyAlignment="0" applyProtection="0"/>
    <xf numFmtId="292" fontId="11" fillId="0" borderId="0" applyFont="0" applyFill="0" applyBorder="0" applyAlignment="0" applyProtection="0"/>
    <xf numFmtId="292" fontId="11" fillId="0" borderId="0" applyFont="0" applyFill="0" applyBorder="0" applyAlignment="0" applyProtection="0"/>
    <xf numFmtId="292" fontId="11" fillId="0" borderId="0" applyFont="0" applyFill="0" applyBorder="0" applyAlignment="0" applyProtection="0"/>
    <xf numFmtId="292" fontId="11" fillId="0" borderId="0" applyFont="0" applyFill="0" applyBorder="0" applyAlignment="0" applyProtection="0"/>
    <xf numFmtId="292" fontId="11" fillId="0" borderId="0" applyFont="0" applyFill="0" applyBorder="0" applyAlignment="0" applyProtection="0"/>
    <xf numFmtId="292" fontId="11" fillId="0" borderId="0" applyFont="0" applyFill="0" applyBorder="0" applyAlignment="0" applyProtection="0"/>
    <xf numFmtId="292" fontId="11" fillId="0" borderId="0" applyFont="0" applyFill="0" applyBorder="0" applyAlignment="0" applyProtection="0"/>
    <xf numFmtId="14" fontId="80" fillId="0" borderId="0">
      <alignment horizontal="center" wrapText="1"/>
      <protection locked="0"/>
    </xf>
    <xf numFmtId="14" fontId="81" fillId="0" borderId="0">
      <alignment horizontal="center" wrapText="1"/>
      <protection locked="0"/>
    </xf>
    <xf numFmtId="307" fontId="95" fillId="0" borderId="0" applyFont="0" applyFill="0" applyBorder="0" applyAlignment="0" applyProtection="0"/>
    <xf numFmtId="308" fontId="23" fillId="0" borderId="0" applyFont="0" applyFill="0" applyBorder="0" applyAlignment="0" applyProtection="0"/>
    <xf numFmtId="309" fontId="101" fillId="0" borderId="0" applyFont="0" applyFill="0" applyBorder="0" applyAlignment="0" applyProtection="0"/>
    <xf numFmtId="310" fontId="11" fillId="0" borderId="0" applyFont="0" applyFill="0" applyBorder="0" applyAlignment="0" applyProtection="0"/>
    <xf numFmtId="310" fontId="11" fillId="0" borderId="0" applyFont="0" applyFill="0" applyBorder="0" applyAlignment="0" applyProtection="0"/>
    <xf numFmtId="310" fontId="11" fillId="0" borderId="0" applyFont="0" applyFill="0" applyBorder="0" applyAlignment="0" applyProtection="0"/>
    <xf numFmtId="310" fontId="11" fillId="0" borderId="0" applyFont="0" applyFill="0" applyBorder="0" applyAlignment="0" applyProtection="0"/>
    <xf numFmtId="310" fontId="11" fillId="0" borderId="0" applyFont="0" applyFill="0" applyBorder="0" applyAlignment="0" applyProtection="0"/>
    <xf numFmtId="310" fontId="11" fillId="0" borderId="0" applyFont="0" applyFill="0" applyBorder="0" applyAlignment="0" applyProtection="0"/>
    <xf numFmtId="310" fontId="11" fillId="0" borderId="0" applyFont="0" applyFill="0" applyBorder="0" applyAlignment="0" applyProtection="0"/>
    <xf numFmtId="310" fontId="11" fillId="0" borderId="0" applyFont="0" applyFill="0" applyBorder="0" applyAlignment="0" applyProtection="0"/>
    <xf numFmtId="310" fontId="11" fillId="0" borderId="0" applyFont="0" applyFill="0" applyBorder="0" applyAlignment="0" applyProtection="0"/>
    <xf numFmtId="310" fontId="11" fillId="0" borderId="0" applyFont="0" applyFill="0" applyBorder="0" applyAlignment="0" applyProtection="0"/>
    <xf numFmtId="310" fontId="11" fillId="0" borderId="0" applyFont="0" applyFill="0" applyBorder="0" applyAlignment="0" applyProtection="0"/>
    <xf numFmtId="310" fontId="11" fillId="0" borderId="0" applyFont="0" applyFill="0" applyBorder="0" applyAlignment="0" applyProtection="0"/>
    <xf numFmtId="310" fontId="11" fillId="0" borderId="0" applyFont="0" applyFill="0" applyBorder="0" applyAlignment="0" applyProtection="0"/>
    <xf numFmtId="310" fontId="11" fillId="0" borderId="0" applyFont="0" applyFill="0" applyBorder="0" applyAlignment="0" applyProtection="0"/>
    <xf numFmtId="310" fontId="11" fillId="0" borderId="0" applyFont="0" applyFill="0" applyBorder="0" applyAlignment="0" applyProtection="0"/>
    <xf numFmtId="234" fontId="72"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311" fontId="72" fillId="0" borderId="0" applyFont="0" applyFill="0" applyBorder="0" applyAlignment="0" applyProtection="0"/>
    <xf numFmtId="312" fontId="11" fillId="0" borderId="0" applyFont="0" applyFill="0" applyBorder="0" applyAlignment="0" applyProtection="0"/>
    <xf numFmtId="312" fontId="11" fillId="0" borderId="0" applyFont="0" applyFill="0" applyBorder="0" applyAlignment="0" applyProtection="0"/>
    <xf numFmtId="312" fontId="11" fillId="0" borderId="0" applyFont="0" applyFill="0" applyBorder="0" applyAlignment="0" applyProtection="0"/>
    <xf numFmtId="312" fontId="11" fillId="0" borderId="0" applyFont="0" applyFill="0" applyBorder="0" applyAlignment="0" applyProtection="0"/>
    <xf numFmtId="312" fontId="11" fillId="0" borderId="0" applyFont="0" applyFill="0" applyBorder="0" applyAlignment="0" applyProtection="0"/>
    <xf numFmtId="312" fontId="11" fillId="0" borderId="0" applyFont="0" applyFill="0" applyBorder="0" applyAlignment="0" applyProtection="0"/>
    <xf numFmtId="312" fontId="11" fillId="0" borderId="0" applyFont="0" applyFill="0" applyBorder="0" applyAlignment="0" applyProtection="0"/>
    <xf numFmtId="312" fontId="11" fillId="0" borderId="0" applyFont="0" applyFill="0" applyBorder="0" applyAlignment="0" applyProtection="0"/>
    <xf numFmtId="312" fontId="11" fillId="0" borderId="0" applyFont="0" applyFill="0" applyBorder="0" applyAlignment="0" applyProtection="0"/>
    <xf numFmtId="312" fontId="11" fillId="0" borderId="0" applyFont="0" applyFill="0" applyBorder="0" applyAlignment="0" applyProtection="0"/>
    <xf numFmtId="312" fontId="11" fillId="0" borderId="0" applyFont="0" applyFill="0" applyBorder="0" applyAlignment="0" applyProtection="0"/>
    <xf numFmtId="312" fontId="11" fillId="0" borderId="0" applyFont="0" applyFill="0" applyBorder="0" applyAlignment="0" applyProtection="0"/>
    <xf numFmtId="312" fontId="11" fillId="0" borderId="0" applyFont="0" applyFill="0" applyBorder="0" applyAlignment="0" applyProtection="0"/>
    <xf numFmtId="312" fontId="11" fillId="0" borderId="0" applyFont="0" applyFill="0" applyBorder="0" applyAlignment="0" applyProtection="0"/>
    <xf numFmtId="312"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10" fontId="40" fillId="0" borderId="0" applyProtection="0"/>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313" fontId="101" fillId="0" borderId="0" applyFont="0" applyFill="0" applyBorder="0" applyAlignment="0" applyProtection="0"/>
    <xf numFmtId="314" fontId="23" fillId="0" borderId="0" applyFont="0" applyFill="0" applyBorder="0" applyAlignment="0" applyProtection="0"/>
    <xf numFmtId="315" fontId="101" fillId="0" borderId="0" applyFont="0" applyFill="0" applyBorder="0" applyAlignment="0" applyProtection="0"/>
    <xf numFmtId="316" fontId="23" fillId="0" borderId="0" applyFont="0" applyFill="0" applyBorder="0" applyAlignment="0" applyProtection="0"/>
    <xf numFmtId="317" fontId="101" fillId="0" borderId="0" applyFont="0" applyFill="0" applyBorder="0" applyAlignment="0" applyProtection="0"/>
    <xf numFmtId="318" fontId="2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4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0" fillId="0" borderId="35" applyNumberFormat="0" applyBorder="0"/>
    <xf numFmtId="9" fontId="30" fillId="0" borderId="35" applyNumberFormat="0" applyBorder="0"/>
    <xf numFmtId="0" fontId="72"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28" fontId="9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36" fontId="9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7" fontId="11" fillId="0" borderId="0" applyFill="0" applyBorder="0" applyAlignment="0"/>
    <xf numFmtId="238" fontId="9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39" fontId="11" fillId="0" borderId="0" applyFill="0" applyBorder="0" applyAlignment="0"/>
    <xf numFmtId="228" fontId="9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229" fontId="11" fillId="0" borderId="0" applyFill="0" applyBorder="0" applyAlignment="0"/>
    <xf numFmtId="0" fontId="170" fillId="0" borderId="0"/>
    <xf numFmtId="0" fontId="171" fillId="0" borderId="0"/>
    <xf numFmtId="0" fontId="30" fillId="0" borderId="0" applyNumberFormat="0" applyFont="0" applyFill="0" applyBorder="0" applyAlignment="0" applyProtection="0">
      <alignment horizontal="left"/>
    </xf>
    <xf numFmtId="0" fontId="172" fillId="0" borderId="25">
      <alignment horizontal="center"/>
    </xf>
    <xf numFmtId="1" fontId="72" fillId="0" borderId="3" applyNumberFormat="0" applyFill="0" applyAlignment="0" applyProtection="0">
      <alignment horizontal="center" vertical="center"/>
    </xf>
    <xf numFmtId="0" fontId="173" fillId="33" borderId="0" applyNumberFormat="0" applyFont="0" applyBorder="0" applyAlignment="0">
      <alignment horizontal="center"/>
    </xf>
    <xf numFmtId="0" fontId="173" fillId="33" borderId="0" applyNumberFormat="0" applyFont="0" applyBorder="0" applyAlignment="0">
      <alignment horizontal="center"/>
    </xf>
    <xf numFmtId="14" fontId="174" fillId="0" borderId="0" applyNumberFormat="0" applyFill="0" applyBorder="0" applyAlignment="0" applyProtection="0">
      <alignment horizontal="left"/>
    </xf>
    <xf numFmtId="0" fontId="144" fillId="0" borderId="0"/>
    <xf numFmtId="0" fontId="41" fillId="0" borderId="0"/>
    <xf numFmtId="167" fontId="42" fillId="0" borderId="0" applyFont="0" applyFill="0" applyBorder="0" applyAlignment="0" applyProtection="0"/>
    <xf numFmtId="216" fontId="4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Protection="0"/>
    <xf numFmtId="213" fontId="42" fillId="0" borderId="0" applyFont="0" applyFill="0" applyBorder="0" applyAlignment="0" applyProtection="0"/>
    <xf numFmtId="167" fontId="40" fillId="0" borderId="0" applyProtection="0"/>
    <xf numFmtId="4" fontId="175" fillId="34" borderId="36" applyNumberFormat="0" applyProtection="0">
      <alignment vertical="center"/>
    </xf>
    <xf numFmtId="4" fontId="176" fillId="34" borderId="36" applyNumberFormat="0" applyProtection="0">
      <alignment vertical="center"/>
    </xf>
    <xf numFmtId="4" fontId="177" fillId="34" borderId="36" applyNumberFormat="0" applyProtection="0">
      <alignment vertical="center"/>
    </xf>
    <xf numFmtId="4" fontId="178" fillId="34" borderId="36" applyNumberFormat="0" applyProtection="0">
      <alignment vertical="center"/>
    </xf>
    <xf numFmtId="4" fontId="179" fillId="34" borderId="36" applyNumberFormat="0" applyProtection="0">
      <alignment horizontal="left" vertical="center" indent="1"/>
    </xf>
    <xf numFmtId="4" fontId="180" fillId="34" borderId="36" applyNumberFormat="0" applyProtection="0">
      <alignment horizontal="left" vertical="center" indent="1"/>
    </xf>
    <xf numFmtId="4" fontId="179" fillId="35" borderId="0" applyNumberFormat="0" applyProtection="0">
      <alignment horizontal="left" vertical="center" indent="1"/>
    </xf>
    <xf numFmtId="4" fontId="180" fillId="35" borderId="0" applyNumberFormat="0" applyProtection="0">
      <alignment horizontal="left" vertical="center" indent="1"/>
    </xf>
    <xf numFmtId="4" fontId="179" fillId="36" borderId="36" applyNumberFormat="0" applyProtection="0">
      <alignment horizontal="right" vertical="center"/>
    </xf>
    <xf numFmtId="4" fontId="180" fillId="36" borderId="36" applyNumberFormat="0" applyProtection="0">
      <alignment horizontal="right" vertical="center"/>
    </xf>
    <xf numFmtId="4" fontId="179" fillId="37" borderId="36" applyNumberFormat="0" applyProtection="0">
      <alignment horizontal="right" vertical="center"/>
    </xf>
    <xf numFmtId="4" fontId="180" fillId="37" borderId="36" applyNumberFormat="0" applyProtection="0">
      <alignment horizontal="right" vertical="center"/>
    </xf>
    <xf numFmtId="4" fontId="179" fillId="38" borderId="36" applyNumberFormat="0" applyProtection="0">
      <alignment horizontal="right" vertical="center"/>
    </xf>
    <xf numFmtId="4" fontId="180" fillId="38" borderId="36" applyNumberFormat="0" applyProtection="0">
      <alignment horizontal="right" vertical="center"/>
    </xf>
    <xf numFmtId="4" fontId="179" fillId="39" borderId="36" applyNumberFormat="0" applyProtection="0">
      <alignment horizontal="right" vertical="center"/>
    </xf>
    <xf numFmtId="4" fontId="180" fillId="39" borderId="36" applyNumberFormat="0" applyProtection="0">
      <alignment horizontal="right" vertical="center"/>
    </xf>
    <xf numFmtId="4" fontId="179" fillId="40" borderId="36" applyNumberFormat="0" applyProtection="0">
      <alignment horizontal="right" vertical="center"/>
    </xf>
    <xf numFmtId="4" fontId="180" fillId="40" borderId="36" applyNumberFormat="0" applyProtection="0">
      <alignment horizontal="right" vertical="center"/>
    </xf>
    <xf numFmtId="4" fontId="179" fillId="41" borderId="36" applyNumberFormat="0" applyProtection="0">
      <alignment horizontal="right" vertical="center"/>
    </xf>
    <xf numFmtId="4" fontId="180" fillId="41" borderId="36" applyNumberFormat="0" applyProtection="0">
      <alignment horizontal="right" vertical="center"/>
    </xf>
    <xf numFmtId="4" fontId="179" fillId="42" borderId="36" applyNumberFormat="0" applyProtection="0">
      <alignment horizontal="right" vertical="center"/>
    </xf>
    <xf numFmtId="4" fontId="180" fillId="42" borderId="36" applyNumberFormat="0" applyProtection="0">
      <alignment horizontal="right" vertical="center"/>
    </xf>
    <xf numFmtId="4" fontId="179" fillId="43" borderId="36" applyNumberFormat="0" applyProtection="0">
      <alignment horizontal="right" vertical="center"/>
    </xf>
    <xf numFmtId="4" fontId="180" fillId="43" borderId="36" applyNumberFormat="0" applyProtection="0">
      <alignment horizontal="right" vertical="center"/>
    </xf>
    <xf numFmtId="4" fontId="179" fillId="44" borderId="36" applyNumberFormat="0" applyProtection="0">
      <alignment horizontal="right" vertical="center"/>
    </xf>
    <xf numFmtId="4" fontId="180" fillId="44" borderId="36" applyNumberFormat="0" applyProtection="0">
      <alignment horizontal="right" vertical="center"/>
    </xf>
    <xf numFmtId="4" fontId="175" fillId="45" borderId="37" applyNumberFormat="0" applyProtection="0">
      <alignment horizontal="left" vertical="center" indent="1"/>
    </xf>
    <xf numFmtId="4" fontId="176" fillId="45" borderId="37" applyNumberFormat="0" applyProtection="0">
      <alignment horizontal="left" vertical="center" indent="1"/>
    </xf>
    <xf numFmtId="4" fontId="175" fillId="46" borderId="0" applyNumberFormat="0" applyProtection="0">
      <alignment horizontal="left" vertical="center" indent="1"/>
    </xf>
    <xf numFmtId="4" fontId="176" fillId="46" borderId="0" applyNumberFormat="0" applyProtection="0">
      <alignment horizontal="left" vertical="center" indent="1"/>
    </xf>
    <xf numFmtId="4" fontId="175" fillId="35" borderId="0" applyNumberFormat="0" applyProtection="0">
      <alignment horizontal="left" vertical="center" indent="1"/>
    </xf>
    <xf numFmtId="4" fontId="176" fillId="35" borderId="0" applyNumberFormat="0" applyProtection="0">
      <alignment horizontal="left" vertical="center" indent="1"/>
    </xf>
    <xf numFmtId="4" fontId="179" fillId="46" borderId="36" applyNumberFormat="0" applyProtection="0">
      <alignment horizontal="right" vertical="center"/>
    </xf>
    <xf numFmtId="4" fontId="180" fillId="46" borderId="36" applyNumberFormat="0" applyProtection="0">
      <alignment horizontal="right" vertical="center"/>
    </xf>
    <xf numFmtId="4" fontId="54" fillId="46" borderId="0" applyNumberFormat="0" applyProtection="0">
      <alignment horizontal="left" vertical="center" indent="1"/>
    </xf>
    <xf numFmtId="4" fontId="53" fillId="46" borderId="0" applyNumberFormat="0" applyProtection="0">
      <alignment horizontal="left" vertical="center" indent="1"/>
    </xf>
    <xf numFmtId="4" fontId="54" fillId="35" borderId="0" applyNumberFormat="0" applyProtection="0">
      <alignment horizontal="left" vertical="center" indent="1"/>
    </xf>
    <xf numFmtId="4" fontId="53" fillId="35" borderId="0" applyNumberFormat="0" applyProtection="0">
      <alignment horizontal="left" vertical="center" indent="1"/>
    </xf>
    <xf numFmtId="4" fontId="179" fillId="47" borderId="36" applyNumberFormat="0" applyProtection="0">
      <alignment vertical="center"/>
    </xf>
    <xf numFmtId="4" fontId="180" fillId="47" borderId="36" applyNumberFormat="0" applyProtection="0">
      <alignment vertical="center"/>
    </xf>
    <xf numFmtId="4" fontId="181" fillId="47" borderId="36" applyNumberFormat="0" applyProtection="0">
      <alignment vertical="center"/>
    </xf>
    <xf numFmtId="4" fontId="182" fillId="47" borderId="36" applyNumberFormat="0" applyProtection="0">
      <alignment vertical="center"/>
    </xf>
    <xf numFmtId="4" fontId="175" fillId="46" borderId="38" applyNumberFormat="0" applyProtection="0">
      <alignment horizontal="left" vertical="center" indent="1"/>
    </xf>
    <xf numFmtId="4" fontId="176" fillId="46" borderId="38" applyNumberFormat="0" applyProtection="0">
      <alignment horizontal="left" vertical="center" indent="1"/>
    </xf>
    <xf numFmtId="4" fontId="179" fillId="47" borderId="36" applyNumberFormat="0" applyProtection="0">
      <alignment horizontal="right" vertical="center"/>
    </xf>
    <xf numFmtId="4" fontId="180" fillId="47" borderId="36" applyNumberFormat="0" applyProtection="0">
      <alignment horizontal="right" vertical="center"/>
    </xf>
    <xf numFmtId="4" fontId="181" fillId="47" borderId="36" applyNumberFormat="0" applyProtection="0">
      <alignment horizontal="right" vertical="center"/>
    </xf>
    <xf numFmtId="4" fontId="182" fillId="47" borderId="36" applyNumberFormat="0" applyProtection="0">
      <alignment horizontal="right" vertical="center"/>
    </xf>
    <xf numFmtId="4" fontId="175" fillId="46" borderId="36" applyNumberFormat="0" applyProtection="0">
      <alignment horizontal="left" vertical="center" indent="1"/>
    </xf>
    <xf numFmtId="4" fontId="176" fillId="46" borderId="36" applyNumberFormat="0" applyProtection="0">
      <alignment horizontal="left" vertical="center" indent="1"/>
    </xf>
    <xf numFmtId="4" fontId="183" fillId="29" borderId="38" applyNumberFormat="0" applyProtection="0">
      <alignment horizontal="left" vertical="center" indent="1"/>
    </xf>
    <xf numFmtId="4" fontId="184" fillId="29" borderId="38" applyNumberFormat="0" applyProtection="0">
      <alignment horizontal="left" vertical="center" indent="1"/>
    </xf>
    <xf numFmtId="4" fontId="185" fillId="47" borderId="36" applyNumberFormat="0" applyProtection="0">
      <alignment horizontal="right" vertical="center"/>
    </xf>
    <xf numFmtId="4" fontId="186" fillId="47" borderId="36" applyNumberFormat="0" applyProtection="0">
      <alignment horizontal="right" vertical="center"/>
    </xf>
    <xf numFmtId="319" fontId="187" fillId="0" borderId="0" applyFont="0" applyFill="0" applyBorder="0" applyAlignment="0" applyProtection="0"/>
    <xf numFmtId="0" fontId="173" fillId="1" borderId="6" applyNumberFormat="0" applyFont="0" applyAlignment="0">
      <alignment horizontal="center"/>
    </xf>
    <xf numFmtId="0" fontId="173" fillId="1" borderId="6" applyNumberFormat="0" applyFont="0" applyAlignment="0">
      <alignment horizontal="center"/>
    </xf>
    <xf numFmtId="3" fontId="37" fillId="0" borderId="0"/>
    <xf numFmtId="0" fontId="188" fillId="0" borderId="0" applyNumberFormat="0" applyFill="0" applyBorder="0" applyAlignment="0">
      <alignment horizontal="center"/>
    </xf>
    <xf numFmtId="0" fontId="72" fillId="0" borderId="0"/>
    <xf numFmtId="176" fontId="189" fillId="0" borderId="0" applyNumberFormat="0" applyBorder="0" applyAlignment="0">
      <alignment horizontal="centerContinuous"/>
    </xf>
    <xf numFmtId="0" fontId="52" fillId="0" borderId="0"/>
    <xf numFmtId="0" fontId="52" fillId="0" borderId="0"/>
    <xf numFmtId="0" fontId="41" fillId="0" borderId="0" applyNumberFormat="0" applyFill="0" applyBorder="0" applyAlignment="0" applyProtection="0"/>
    <xf numFmtId="176" fontId="61" fillId="0" borderId="0" applyFont="0" applyFill="0" applyBorder="0" applyAlignment="0" applyProtection="0"/>
    <xf numFmtId="215" fontId="42" fillId="0" borderId="0" applyFont="0" applyFill="0" applyBorder="0" applyAlignment="0" applyProtection="0"/>
    <xf numFmtId="193" fontId="42" fillId="0" borderId="0" applyFont="0" applyFill="0" applyBorder="0" applyAlignment="0" applyProtection="0"/>
    <xf numFmtId="214" fontId="42" fillId="0" borderId="0" applyFont="0" applyFill="0" applyBorder="0" applyAlignment="0" applyProtection="0"/>
    <xf numFmtId="167" fontId="42" fillId="0" borderId="0" applyFont="0" applyFill="0" applyBorder="0" applyAlignment="0" applyProtection="0"/>
    <xf numFmtId="216" fontId="42" fillId="0" borderId="0" applyFont="0" applyFill="0" applyBorder="0" applyAlignment="0" applyProtection="0"/>
    <xf numFmtId="217" fontId="42" fillId="0" borderId="0" applyFont="0" applyFill="0" applyBorder="0" applyAlignment="0" applyProtection="0"/>
    <xf numFmtId="214" fontId="42" fillId="0" borderId="0" applyFont="0" applyFill="0" applyBorder="0" applyAlignment="0" applyProtection="0"/>
    <xf numFmtId="214" fontId="42" fillId="0" borderId="0" applyFont="0" applyFill="0" applyBorder="0" applyAlignment="0" applyProtection="0"/>
    <xf numFmtId="19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93" fontId="18" fillId="0" borderId="0" applyFont="0" applyFill="0" applyBorder="0" applyAlignment="0" applyProtection="0"/>
    <xf numFmtId="197" fontId="42" fillId="0" borderId="0" applyFont="0" applyFill="0" applyBorder="0" applyAlignment="0" applyProtection="0"/>
    <xf numFmtId="195" fontId="42" fillId="0" borderId="0" applyFont="0" applyFill="0" applyBorder="0" applyAlignment="0" applyProtection="0"/>
    <xf numFmtId="195"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99" fontId="42" fillId="0" borderId="0" applyFont="0" applyFill="0" applyBorder="0" applyAlignment="0" applyProtection="0"/>
    <xf numFmtId="199" fontId="42" fillId="0" borderId="0" applyFont="0" applyFill="0" applyBorder="0" applyAlignment="0" applyProtection="0"/>
    <xf numFmtId="166" fontId="42" fillId="0" borderId="0" applyFont="0" applyFill="0" applyBorder="0" applyAlignment="0" applyProtection="0"/>
    <xf numFmtId="199" fontId="42" fillId="0" borderId="0" applyFont="0" applyFill="0" applyBorder="0" applyAlignment="0" applyProtection="0"/>
    <xf numFmtId="166" fontId="42" fillId="0" borderId="0" applyFont="0" applyFill="0" applyBorder="0" applyAlignment="0" applyProtection="0"/>
    <xf numFmtId="199" fontId="42" fillId="0" borderId="0" applyFont="0" applyFill="0" applyBorder="0" applyAlignment="0" applyProtection="0"/>
    <xf numFmtId="193" fontId="18" fillId="0" borderId="0" applyFont="0" applyFill="0" applyBorder="0" applyAlignment="0" applyProtection="0"/>
    <xf numFmtId="197" fontId="42" fillId="0" borderId="0" applyFont="0" applyFill="0" applyBorder="0" applyAlignment="0" applyProtection="0"/>
    <xf numFmtId="188" fontId="42" fillId="0" borderId="0" applyFont="0" applyFill="0" applyBorder="0" applyAlignment="0" applyProtection="0"/>
    <xf numFmtId="207" fontId="42" fillId="0" borderId="0" applyFont="0" applyFill="0" applyBorder="0" applyAlignment="0" applyProtection="0"/>
    <xf numFmtId="207" fontId="42" fillId="0" borderId="0" applyFont="0" applyFill="0" applyBorder="0" applyAlignment="0" applyProtection="0"/>
    <xf numFmtId="207" fontId="42" fillId="0" borderId="0" applyFont="0" applyFill="0" applyBorder="0" applyAlignment="0" applyProtection="0"/>
    <xf numFmtId="188" fontId="37" fillId="0" borderId="0" applyFont="0" applyFill="0" applyBorder="0" applyAlignment="0" applyProtection="0"/>
    <xf numFmtId="207" fontId="42" fillId="0" borderId="0" applyFont="0" applyFill="0" applyBorder="0" applyAlignment="0" applyProtection="0"/>
    <xf numFmtId="188" fontId="42" fillId="0" borderId="0" applyFont="0" applyFill="0" applyBorder="0" applyAlignment="0" applyProtection="0"/>
    <xf numFmtId="210" fontId="42" fillId="0" borderId="0" applyFont="0" applyFill="0" applyBorder="0" applyAlignment="0" applyProtection="0"/>
    <xf numFmtId="199" fontId="42" fillId="0" borderId="0" applyFont="0" applyFill="0" applyBorder="0" applyAlignment="0" applyProtection="0"/>
    <xf numFmtId="199" fontId="42" fillId="0" borderId="0" applyFont="0" applyFill="0" applyBorder="0" applyAlignment="0" applyProtection="0"/>
    <xf numFmtId="193" fontId="18" fillId="0" borderId="0" applyFont="0" applyFill="0" applyBorder="0" applyAlignment="0" applyProtection="0"/>
    <xf numFmtId="197" fontId="42" fillId="0" borderId="0" applyFont="0" applyFill="0" applyBorder="0" applyAlignment="0" applyProtection="0"/>
    <xf numFmtId="166" fontId="42" fillId="0" borderId="0" applyFont="0" applyFill="0" applyBorder="0" applyAlignment="0" applyProtection="0"/>
    <xf numFmtId="0" fontId="41" fillId="0" borderId="0"/>
    <xf numFmtId="320" fontId="87" fillId="0" borderId="0" applyFont="0" applyFill="0" applyBorder="0" applyAlignment="0" applyProtection="0"/>
    <xf numFmtId="195" fontId="42" fillId="0" borderId="0" applyFont="0" applyFill="0" applyBorder="0" applyAlignment="0" applyProtection="0"/>
    <xf numFmtId="195"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99" fontId="42" fillId="0" borderId="0" applyFont="0" applyFill="0" applyBorder="0" applyAlignment="0" applyProtection="0"/>
    <xf numFmtId="199" fontId="42" fillId="0" borderId="0" applyFont="0" applyFill="0" applyBorder="0" applyAlignment="0" applyProtection="0"/>
    <xf numFmtId="166" fontId="42" fillId="0" borderId="0" applyFont="0" applyFill="0" applyBorder="0" applyAlignment="0" applyProtection="0"/>
    <xf numFmtId="176" fontId="61" fillId="0" borderId="0" applyFont="0" applyFill="0" applyBorder="0" applyAlignment="0" applyProtection="0"/>
    <xf numFmtId="212" fontId="42" fillId="0" borderId="0" applyFont="0" applyFill="0" applyBorder="0" applyAlignment="0" applyProtection="0"/>
    <xf numFmtId="199" fontId="42" fillId="0" borderId="0" applyFont="0" applyFill="0" applyBorder="0" applyAlignment="0" applyProtection="0"/>
    <xf numFmtId="166" fontId="42" fillId="0" borderId="0" applyFont="0" applyFill="0" applyBorder="0" applyAlignment="0" applyProtection="0"/>
    <xf numFmtId="199" fontId="42" fillId="0" borderId="0" applyFont="0" applyFill="0" applyBorder="0" applyAlignment="0" applyProtection="0"/>
    <xf numFmtId="188" fontId="42" fillId="0" borderId="0" applyFont="0" applyFill="0" applyBorder="0" applyAlignment="0" applyProtection="0"/>
    <xf numFmtId="207" fontId="42" fillId="0" borderId="0" applyFont="0" applyFill="0" applyBorder="0" applyAlignment="0" applyProtection="0"/>
    <xf numFmtId="207" fontId="42" fillId="0" borderId="0" applyFont="0" applyFill="0" applyBorder="0" applyAlignment="0" applyProtection="0"/>
    <xf numFmtId="207" fontId="42" fillId="0" borderId="0" applyFont="0" applyFill="0" applyBorder="0" applyAlignment="0" applyProtection="0"/>
    <xf numFmtId="188" fontId="37" fillId="0" borderId="0" applyFont="0" applyFill="0" applyBorder="0" applyAlignment="0" applyProtection="0"/>
    <xf numFmtId="207" fontId="42" fillId="0" borderId="0" applyFont="0" applyFill="0" applyBorder="0" applyAlignment="0" applyProtection="0"/>
    <xf numFmtId="188" fontId="42" fillId="0" borderId="0" applyFont="0" applyFill="0" applyBorder="0" applyAlignment="0" applyProtection="0"/>
    <xf numFmtId="176" fontId="61" fillId="0" borderId="0" applyFont="0" applyFill="0" applyBorder="0" applyAlignment="0" applyProtection="0"/>
    <xf numFmtId="212" fontId="42" fillId="0" borderId="0" applyFont="0" applyFill="0" applyBorder="0" applyAlignment="0" applyProtection="0"/>
    <xf numFmtId="210" fontId="42" fillId="0" borderId="0" applyFont="0" applyFill="0" applyBorder="0" applyAlignment="0" applyProtection="0"/>
    <xf numFmtId="199" fontId="42" fillId="0" borderId="0" applyFont="0" applyFill="0" applyBorder="0" applyAlignment="0" applyProtection="0"/>
    <xf numFmtId="199" fontId="42" fillId="0" borderId="0" applyFont="0" applyFill="0" applyBorder="0" applyAlignment="0" applyProtection="0"/>
    <xf numFmtId="166" fontId="42" fillId="0" borderId="0" applyFont="0" applyFill="0" applyBorder="0" applyAlignment="0" applyProtection="0"/>
    <xf numFmtId="0" fontId="41" fillId="0" borderId="0"/>
    <xf numFmtId="320" fontId="87" fillId="0" borderId="0" applyFont="0" applyFill="0" applyBorder="0" applyAlignment="0" applyProtection="0"/>
    <xf numFmtId="167" fontId="42" fillId="0" borderId="0" applyFont="0" applyFill="0" applyBorder="0" applyAlignment="0" applyProtection="0"/>
    <xf numFmtId="197" fontId="42" fillId="0" borderId="0" applyFont="0" applyFill="0" applyBorder="0" applyAlignment="0" applyProtection="0"/>
    <xf numFmtId="41" fontId="42" fillId="0" borderId="0" applyFont="0" applyFill="0" applyBorder="0" applyAlignment="0" applyProtection="0"/>
    <xf numFmtId="212" fontId="42" fillId="0" borderId="0" applyFont="0" applyFill="0" applyBorder="0" applyAlignment="0" applyProtection="0"/>
    <xf numFmtId="41"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216" fontId="42" fillId="0" borderId="0" applyFont="0" applyFill="0" applyBorder="0" applyAlignment="0" applyProtection="0"/>
    <xf numFmtId="167" fontId="42" fillId="0" borderId="0" applyFont="0" applyFill="0" applyBorder="0" applyAlignment="0" applyProtection="0"/>
    <xf numFmtId="172" fontId="42" fillId="0" borderId="0" applyFont="0" applyFill="0" applyBorder="0" applyAlignment="0" applyProtection="0"/>
    <xf numFmtId="41" fontId="42" fillId="0" borderId="0" applyFont="0" applyFill="0" applyBorder="0" applyAlignment="0" applyProtection="0"/>
    <xf numFmtId="172" fontId="42" fillId="0" borderId="0" applyFont="0" applyFill="0" applyBorder="0" applyAlignment="0" applyProtection="0"/>
    <xf numFmtId="41" fontId="42" fillId="0" borderId="0" applyFont="0" applyFill="0" applyBorder="0" applyAlignment="0" applyProtection="0"/>
    <xf numFmtId="211" fontId="42" fillId="0" borderId="0" applyFont="0" applyFill="0" applyBorder="0" applyAlignment="0" applyProtection="0"/>
    <xf numFmtId="167" fontId="42" fillId="0" borderId="0" applyFont="0" applyFill="0" applyBorder="0" applyAlignment="0" applyProtection="0"/>
    <xf numFmtId="212" fontId="42" fillId="0" borderId="0" applyFont="0" applyFill="0" applyBorder="0" applyAlignment="0" applyProtection="0"/>
    <xf numFmtId="167" fontId="42" fillId="0" borderId="0" applyFont="0" applyFill="0" applyBorder="0" applyAlignment="0" applyProtection="0"/>
    <xf numFmtId="197" fontId="42" fillId="0" borderId="0" applyFont="0" applyFill="0" applyBorder="0" applyAlignment="0" applyProtection="0"/>
    <xf numFmtId="166" fontId="42" fillId="0" borderId="0" applyFont="0" applyFill="0" applyBorder="0" applyAlignment="0" applyProtection="0"/>
    <xf numFmtId="212" fontId="42" fillId="0" borderId="0" applyFont="0" applyFill="0" applyBorder="0" applyAlignment="0" applyProtection="0"/>
    <xf numFmtId="207" fontId="42" fillId="0" borderId="0" applyFont="0" applyFill="0" applyBorder="0" applyAlignment="0" applyProtection="0"/>
    <xf numFmtId="212" fontId="42" fillId="0" borderId="0" applyFont="0" applyFill="0" applyBorder="0" applyAlignment="0" applyProtection="0"/>
    <xf numFmtId="188" fontId="37" fillId="0" borderId="0" applyFont="0" applyFill="0" applyBorder="0" applyAlignment="0" applyProtection="0"/>
    <xf numFmtId="211" fontId="42" fillId="0" borderId="0" applyFont="0" applyFill="0" applyBorder="0" applyAlignment="0" applyProtection="0"/>
    <xf numFmtId="188" fontId="42" fillId="0" borderId="0" applyFont="0" applyFill="0" applyBorder="0" applyAlignment="0" applyProtection="0"/>
    <xf numFmtId="197" fontId="37" fillId="0" borderId="0" applyFont="0" applyFill="0" applyBorder="0" applyAlignment="0" applyProtection="0"/>
    <xf numFmtId="0" fontId="41" fillId="0" borderId="0"/>
    <xf numFmtId="215" fontId="42" fillId="0" borderId="0" applyFont="0" applyFill="0" applyBorder="0" applyAlignment="0" applyProtection="0"/>
    <xf numFmtId="320" fontId="87" fillId="0" borderId="0" applyFont="0" applyFill="0" applyBorder="0" applyAlignment="0" applyProtection="0"/>
    <xf numFmtId="197" fontId="42" fillId="0" borderId="0" applyFont="0" applyFill="0" applyBorder="0" applyAlignment="0" applyProtection="0"/>
    <xf numFmtId="41" fontId="42" fillId="0" borderId="0" applyFont="0" applyFill="0" applyBorder="0" applyAlignment="0" applyProtection="0"/>
    <xf numFmtId="211" fontId="42" fillId="0" borderId="0" applyFont="0" applyFill="0" applyBorder="0" applyAlignment="0" applyProtection="0"/>
    <xf numFmtId="176" fontId="61" fillId="0" borderId="0" applyFont="0" applyFill="0" applyBorder="0" applyAlignment="0" applyProtection="0"/>
    <xf numFmtId="197" fontId="42" fillId="0" borderId="0" applyFont="0" applyFill="0" applyBorder="0" applyAlignment="0" applyProtection="0"/>
    <xf numFmtId="193" fontId="18" fillId="0" borderId="0" applyFont="0" applyFill="0" applyBorder="0" applyAlignment="0" applyProtection="0"/>
    <xf numFmtId="197" fontId="42" fillId="0" borderId="0" applyFont="0" applyFill="0" applyBorder="0" applyAlignment="0" applyProtection="0"/>
    <xf numFmtId="193" fontId="18" fillId="0" borderId="0" applyFont="0" applyFill="0" applyBorder="0" applyAlignment="0" applyProtection="0"/>
    <xf numFmtId="212" fontId="42" fillId="0" borderId="0" applyFont="0" applyFill="0" applyBorder="0" applyAlignment="0" applyProtection="0"/>
    <xf numFmtId="193" fontId="18" fillId="0" borderId="0" applyFont="0" applyFill="0" applyBorder="0" applyAlignment="0" applyProtection="0"/>
    <xf numFmtId="212" fontId="42" fillId="0" borderId="0" applyFont="0" applyFill="0" applyBorder="0" applyAlignment="0" applyProtection="0"/>
    <xf numFmtId="176" fontId="61" fillId="0" borderId="0" applyFont="0" applyFill="0" applyBorder="0" applyAlignment="0" applyProtection="0"/>
    <xf numFmtId="197" fontId="42" fillId="0" borderId="0" applyFont="0" applyFill="0" applyBorder="0" applyAlignment="0" applyProtection="0"/>
    <xf numFmtId="176" fontId="61" fillId="0" borderId="0" applyFont="0" applyFill="0" applyBorder="0" applyAlignment="0" applyProtection="0"/>
    <xf numFmtId="212" fontId="42" fillId="0" borderId="0" applyFont="0" applyFill="0" applyBorder="0" applyAlignment="0" applyProtection="0"/>
    <xf numFmtId="197" fontId="42" fillId="0" borderId="0" applyFont="0" applyFill="0" applyBorder="0" applyAlignment="0" applyProtection="0"/>
    <xf numFmtId="193" fontId="42" fillId="0" borderId="0" applyFont="0" applyFill="0" applyBorder="0" applyAlignment="0" applyProtection="0"/>
    <xf numFmtId="216" fontId="42" fillId="0" borderId="0" applyFont="0" applyFill="0" applyBorder="0" applyAlignment="0" applyProtection="0"/>
    <xf numFmtId="41" fontId="42" fillId="0" borderId="0" applyFont="0" applyFill="0" applyBorder="0" applyAlignment="0" applyProtection="0"/>
    <xf numFmtId="171" fontId="42" fillId="0" borderId="0" applyFont="0" applyFill="0" applyBorder="0" applyAlignment="0" applyProtection="0"/>
    <xf numFmtId="41" fontId="42" fillId="0" borderId="0" applyFont="0" applyFill="0" applyBorder="0" applyAlignment="0" applyProtection="0"/>
    <xf numFmtId="188" fontId="37" fillId="0" borderId="0" applyFont="0" applyFill="0" applyBorder="0" applyAlignment="0" applyProtection="0"/>
    <xf numFmtId="41" fontId="42" fillId="0" borderId="0" applyFont="0" applyFill="0" applyBorder="0" applyAlignment="0" applyProtection="0"/>
    <xf numFmtId="212" fontId="42" fillId="0" borderId="0" applyFont="0" applyFill="0" applyBorder="0" applyAlignment="0" applyProtection="0"/>
    <xf numFmtId="167" fontId="42" fillId="0" borderId="0" applyFont="0" applyFill="0" applyBorder="0" applyAlignment="0" applyProtection="0"/>
    <xf numFmtId="171" fontId="42" fillId="0" borderId="0" applyFont="0" applyFill="0" applyBorder="0" applyAlignment="0" applyProtection="0"/>
    <xf numFmtId="193" fontId="42" fillId="0" borderId="0" applyFont="0" applyFill="0" applyBorder="0" applyAlignment="0" applyProtection="0"/>
    <xf numFmtId="171" fontId="42" fillId="0" borderId="0" applyFont="0" applyFill="0" applyBorder="0" applyAlignment="0" applyProtection="0"/>
    <xf numFmtId="193" fontId="42" fillId="0" borderId="0" applyFont="0" applyFill="0" applyBorder="0" applyAlignment="0" applyProtection="0"/>
    <xf numFmtId="188" fontId="42" fillId="0" borderId="0" applyFont="0" applyFill="0" applyBorder="0" applyAlignment="0" applyProtection="0"/>
    <xf numFmtId="193" fontId="42" fillId="0" borderId="0" applyFont="0" applyFill="0" applyBorder="0" applyAlignment="0" applyProtection="0"/>
    <xf numFmtId="208" fontId="55" fillId="0" borderId="0" applyFont="0" applyFill="0" applyBorder="0" applyAlignment="0" applyProtection="0"/>
    <xf numFmtId="193" fontId="42" fillId="0" borderId="0" applyFont="0" applyFill="0" applyBorder="0" applyAlignment="0" applyProtection="0"/>
    <xf numFmtId="209" fontId="42" fillId="0" borderId="0" applyFont="0" applyFill="0" applyBorder="0" applyAlignment="0" applyProtection="0"/>
    <xf numFmtId="167" fontId="42" fillId="0" borderId="0" applyFont="0" applyFill="0" applyBorder="0" applyAlignment="0" applyProtection="0"/>
    <xf numFmtId="188" fontId="42" fillId="0" borderId="0" applyFont="0" applyFill="0" applyBorder="0" applyAlignment="0" applyProtection="0"/>
    <xf numFmtId="41" fontId="42" fillId="0" borderId="0" applyFont="0" applyFill="0" applyBorder="0" applyAlignment="0" applyProtection="0"/>
    <xf numFmtId="210" fontId="42" fillId="0" borderId="0" applyFont="0" applyFill="0" applyBorder="0" applyAlignment="0" applyProtection="0"/>
    <xf numFmtId="41" fontId="42" fillId="0" borderId="0" applyFont="0" applyFill="0" applyBorder="0" applyAlignment="0" applyProtection="0"/>
    <xf numFmtId="171" fontId="42" fillId="0" borderId="0" applyFont="0" applyFill="0" applyBorder="0" applyAlignment="0" applyProtection="0"/>
    <xf numFmtId="197" fontId="42" fillId="0" borderId="0" applyFont="0" applyFill="0" applyBorder="0" applyAlignment="0" applyProtection="0"/>
    <xf numFmtId="188" fontId="37" fillId="0" borderId="0" applyFont="0" applyFill="0" applyBorder="0" applyAlignment="0" applyProtection="0"/>
    <xf numFmtId="193" fontId="42" fillId="0" borderId="0" applyFont="0" applyFill="0" applyBorder="0" applyAlignment="0" applyProtection="0"/>
    <xf numFmtId="171" fontId="42" fillId="0" borderId="0" applyFont="0" applyFill="0" applyBorder="0" applyAlignment="0" applyProtection="0"/>
    <xf numFmtId="197" fontId="42" fillId="0" borderId="0" applyFont="0" applyFill="0" applyBorder="0" applyAlignment="0" applyProtection="0"/>
    <xf numFmtId="193" fontId="42" fillId="0" borderId="0" applyFont="0" applyFill="0" applyBorder="0" applyAlignment="0" applyProtection="0"/>
    <xf numFmtId="171" fontId="42" fillId="0" borderId="0" applyFont="0" applyFill="0" applyBorder="0" applyAlignment="0" applyProtection="0"/>
    <xf numFmtId="197" fontId="42" fillId="0" borderId="0" applyFont="0" applyFill="0" applyBorder="0" applyAlignment="0" applyProtection="0"/>
    <xf numFmtId="188" fontId="42" fillId="0" borderId="0" applyFont="0" applyFill="0" applyBorder="0" applyAlignment="0" applyProtection="0"/>
    <xf numFmtId="197" fontId="42" fillId="0" borderId="0" applyFont="0" applyFill="0" applyBorder="0" applyAlignment="0" applyProtection="0"/>
    <xf numFmtId="208" fontId="55" fillId="0" borderId="0" applyFont="0" applyFill="0" applyBorder="0" applyAlignment="0" applyProtection="0"/>
    <xf numFmtId="41" fontId="42" fillId="0" borderId="0" applyFont="0" applyFill="0" applyBorder="0" applyAlignment="0" applyProtection="0"/>
    <xf numFmtId="209" fontId="42" fillId="0" borderId="0" applyFont="0" applyFill="0" applyBorder="0" applyAlignment="0" applyProtection="0"/>
    <xf numFmtId="167" fontId="42" fillId="0" borderId="0" applyFont="0" applyFill="0" applyBorder="0" applyAlignment="0" applyProtection="0"/>
    <xf numFmtId="188" fontId="42" fillId="0" borderId="0" applyFont="0" applyFill="0" applyBorder="0" applyAlignment="0" applyProtection="0"/>
    <xf numFmtId="193" fontId="42" fillId="0" borderId="0" applyFont="0" applyFill="0" applyBorder="0" applyAlignment="0" applyProtection="0"/>
    <xf numFmtId="210" fontId="42" fillId="0" borderId="0" applyFont="0" applyFill="0" applyBorder="0" applyAlignment="0" applyProtection="0"/>
    <xf numFmtId="197" fontId="42" fillId="0" borderId="0" applyFont="0" applyFill="0" applyBorder="0" applyAlignment="0" applyProtection="0"/>
    <xf numFmtId="167" fontId="42" fillId="0" borderId="0" applyFont="0" applyFill="0" applyBorder="0" applyAlignment="0" applyProtection="0"/>
    <xf numFmtId="197" fontId="42" fillId="0" borderId="0" applyFont="0" applyFill="0" applyBorder="0" applyAlignment="0" applyProtection="0"/>
    <xf numFmtId="167" fontId="42" fillId="0" borderId="0" applyFont="0" applyFill="0" applyBorder="0" applyAlignment="0" applyProtection="0"/>
    <xf numFmtId="41" fontId="42" fillId="0" borderId="0" applyFont="0" applyFill="0" applyBorder="0" applyAlignment="0" applyProtection="0"/>
    <xf numFmtId="212" fontId="42" fillId="0" borderId="0" applyFont="0" applyFill="0" applyBorder="0" applyAlignment="0" applyProtection="0"/>
    <xf numFmtId="193" fontId="42" fillId="0" borderId="0" applyFont="0" applyFill="0" applyBorder="0" applyAlignment="0" applyProtection="0"/>
    <xf numFmtId="167" fontId="42" fillId="0" borderId="0" applyFont="0" applyFill="0" applyBorder="0" applyAlignment="0" applyProtection="0"/>
    <xf numFmtId="216" fontId="42" fillId="0" borderId="0" applyFont="0" applyFill="0" applyBorder="0" applyAlignment="0" applyProtection="0"/>
    <xf numFmtId="217" fontId="42" fillId="0" borderId="0" applyFont="0" applyFill="0" applyBorder="0" applyAlignment="0" applyProtection="0"/>
    <xf numFmtId="167"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88" fontId="42" fillId="0" borderId="0" applyFont="0" applyFill="0" applyBorder="0" applyAlignment="0" applyProtection="0"/>
    <xf numFmtId="207" fontId="42" fillId="0" borderId="0" applyFont="0" applyFill="0" applyBorder="0" applyAlignment="0" applyProtection="0"/>
    <xf numFmtId="188" fontId="37" fillId="0" borderId="0" applyFont="0" applyFill="0" applyBorder="0" applyAlignment="0" applyProtection="0"/>
    <xf numFmtId="41" fontId="42" fillId="0" borderId="0" applyFont="0" applyFill="0" applyBorder="0" applyAlignment="0" applyProtection="0"/>
    <xf numFmtId="212" fontId="42" fillId="0" borderId="0" applyFont="0" applyFill="0" applyBorder="0" applyAlignment="0" applyProtection="0"/>
    <xf numFmtId="207" fontId="42" fillId="0" borderId="0" applyFont="0" applyFill="0" applyBorder="0" applyAlignment="0" applyProtection="0"/>
    <xf numFmtId="188" fontId="42" fillId="0" borderId="0" applyFont="0" applyFill="0" applyBorder="0" applyAlignment="0" applyProtection="0"/>
    <xf numFmtId="210" fontId="42" fillId="0" borderId="0" applyFont="0" applyFill="0" applyBorder="0" applyAlignment="0" applyProtection="0"/>
    <xf numFmtId="0" fontId="41" fillId="0" borderId="0"/>
    <xf numFmtId="320" fontId="87" fillId="0" borderId="0" applyFont="0" applyFill="0" applyBorder="0" applyAlignment="0" applyProtection="0"/>
    <xf numFmtId="41" fontId="42" fillId="0" borderId="0" applyFont="0" applyFill="0" applyBorder="0" applyAlignment="0" applyProtection="0"/>
    <xf numFmtId="193" fontId="42" fillId="0" borderId="0" applyFont="0" applyFill="0" applyBorder="0" applyAlignment="0" applyProtection="0"/>
    <xf numFmtId="41" fontId="42" fillId="0" borderId="0" applyFont="0" applyFill="0" applyBorder="0" applyAlignment="0" applyProtection="0"/>
    <xf numFmtId="197" fontId="42" fillId="0" borderId="0" applyFont="0" applyFill="0" applyBorder="0" applyAlignment="0" applyProtection="0"/>
    <xf numFmtId="193" fontId="42" fillId="0" borderId="0" applyFont="0" applyFill="0" applyBorder="0" applyAlignment="0" applyProtection="0"/>
    <xf numFmtId="167" fontId="42" fillId="0" borderId="0" applyFont="0" applyFill="0" applyBorder="0" applyAlignment="0" applyProtection="0"/>
    <xf numFmtId="211" fontId="42" fillId="0" borderId="0" applyFont="0" applyFill="0" applyBorder="0" applyAlignment="0" applyProtection="0"/>
    <xf numFmtId="193" fontId="42" fillId="0" borderId="0" applyFont="0" applyFill="0" applyBorder="0" applyAlignment="0" applyProtection="0"/>
    <xf numFmtId="193"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214" fontId="42" fillId="0" borderId="0" applyFont="0" applyFill="0" applyBorder="0" applyAlignment="0" applyProtection="0"/>
    <xf numFmtId="41" fontId="42" fillId="0" borderId="0" applyFont="0" applyFill="0" applyBorder="0" applyAlignment="0" applyProtection="0"/>
    <xf numFmtId="167" fontId="42" fillId="0" borderId="0" applyFont="0" applyFill="0" applyBorder="0" applyAlignment="0" applyProtection="0"/>
    <xf numFmtId="193" fontId="42" fillId="0" borderId="0" applyFont="0" applyFill="0" applyBorder="0" applyAlignment="0" applyProtection="0"/>
    <xf numFmtId="167" fontId="42" fillId="0" borderId="0" applyFont="0" applyFill="0" applyBorder="0" applyAlignment="0" applyProtection="0"/>
    <xf numFmtId="197" fontId="37" fillId="0" borderId="0" applyFont="0" applyFill="0" applyBorder="0" applyAlignment="0" applyProtection="0"/>
    <xf numFmtId="193" fontId="42" fillId="0" borderId="0" applyFont="0" applyFill="0" applyBorder="0" applyAlignment="0" applyProtection="0"/>
    <xf numFmtId="197" fontId="42" fillId="0" borderId="0" applyFont="0" applyFill="0" applyBorder="0" applyAlignment="0" applyProtection="0"/>
    <xf numFmtId="193" fontId="42" fillId="0" borderId="0" applyFont="0" applyFill="0" applyBorder="0" applyAlignment="0" applyProtection="0"/>
    <xf numFmtId="167" fontId="42" fillId="0" borderId="0" applyFont="0" applyFill="0" applyBorder="0" applyAlignment="0" applyProtection="0"/>
    <xf numFmtId="193" fontId="42" fillId="0" borderId="0" applyFont="0" applyFill="0" applyBorder="0" applyAlignment="0" applyProtection="0"/>
    <xf numFmtId="214" fontId="42" fillId="0" borderId="0" applyFont="0" applyFill="0" applyBorder="0" applyAlignment="0" applyProtection="0"/>
    <xf numFmtId="41" fontId="42" fillId="0" borderId="0" applyFont="0" applyFill="0" applyBorder="0" applyAlignment="0" applyProtection="0"/>
    <xf numFmtId="214" fontId="42" fillId="0" borderId="0" applyFont="0" applyFill="0" applyBorder="0" applyAlignment="0" applyProtection="0"/>
    <xf numFmtId="197" fontId="42" fillId="0" borderId="0" applyFont="0" applyFill="0" applyBorder="0" applyAlignment="0" applyProtection="0"/>
    <xf numFmtId="167" fontId="42" fillId="0" borderId="0" applyFont="0" applyFill="0" applyBorder="0" applyAlignment="0" applyProtection="0"/>
    <xf numFmtId="14" fontId="190" fillId="0" borderId="0"/>
    <xf numFmtId="0" fontId="191" fillId="0" borderId="0"/>
    <xf numFmtId="0" fontId="149" fillId="0" borderId="0"/>
    <xf numFmtId="0" fontId="150" fillId="0" borderId="0"/>
    <xf numFmtId="40" fontId="192" fillId="0" borderId="0" applyBorder="0">
      <alignment horizontal="right"/>
    </xf>
    <xf numFmtId="0" fontId="193" fillId="0" borderId="0"/>
    <xf numFmtId="321" fontId="87" fillId="0" borderId="5">
      <alignment horizontal="right" vertical="center"/>
    </xf>
    <xf numFmtId="321" fontId="87" fillId="0" borderId="5">
      <alignment horizontal="right" vertical="center"/>
    </xf>
    <xf numFmtId="321" fontId="87" fillId="0" borderId="5">
      <alignment horizontal="right" vertical="center"/>
    </xf>
    <xf numFmtId="299" fontId="194" fillId="0" borderId="5">
      <alignment horizontal="right" vertical="center"/>
    </xf>
    <xf numFmtId="299" fontId="194" fillId="0" borderId="5">
      <alignment horizontal="right" vertical="center"/>
    </xf>
    <xf numFmtId="321" fontId="8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299" fontId="194" fillId="0" borderId="5">
      <alignment horizontal="right" vertical="center"/>
    </xf>
    <xf numFmtId="299" fontId="194" fillId="0" borderId="5">
      <alignment horizontal="right" vertical="center"/>
    </xf>
    <xf numFmtId="299" fontId="194" fillId="0" borderId="5">
      <alignment horizontal="right" vertical="center"/>
    </xf>
    <xf numFmtId="299" fontId="194" fillId="0" borderId="5">
      <alignment horizontal="right" vertical="center"/>
    </xf>
    <xf numFmtId="299" fontId="194" fillId="0" borderId="5">
      <alignment horizontal="right" vertical="center"/>
    </xf>
    <xf numFmtId="299" fontId="194" fillId="0" borderId="5">
      <alignment horizontal="right" vertical="center"/>
    </xf>
    <xf numFmtId="299" fontId="194" fillId="0" borderId="5">
      <alignment horizontal="right" vertical="center"/>
    </xf>
    <xf numFmtId="299" fontId="194" fillId="0" borderId="5">
      <alignment horizontal="right" vertical="center"/>
    </xf>
    <xf numFmtId="299" fontId="194" fillId="0" borderId="5">
      <alignment horizontal="right" vertical="center"/>
    </xf>
    <xf numFmtId="299" fontId="194"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3" fontId="42" fillId="0" borderId="5">
      <alignment horizontal="right" vertical="center"/>
    </xf>
    <xf numFmtId="323" fontId="42"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4" fontId="61" fillId="0" borderId="5">
      <alignment horizontal="right" vertical="center"/>
    </xf>
    <xf numFmtId="324" fontId="61" fillId="0" borderId="5">
      <alignment horizontal="right" vertical="center"/>
    </xf>
    <xf numFmtId="325" fontId="17" fillId="0" borderId="5">
      <alignment horizontal="right" vertical="center"/>
    </xf>
    <xf numFmtId="179" fontId="72" fillId="0" borderId="5">
      <alignment horizontal="right" vertical="center"/>
    </xf>
    <xf numFmtId="179" fontId="72" fillId="0" borderId="5">
      <alignment horizontal="right" vertical="center"/>
    </xf>
    <xf numFmtId="323" fontId="42" fillId="0" borderId="5">
      <alignment horizontal="right" vertical="center"/>
    </xf>
    <xf numFmtId="323" fontId="42"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179" fontId="11" fillId="0" borderId="5">
      <alignment horizontal="right" vertical="center"/>
    </xf>
    <xf numFmtId="179" fontId="11" fillId="0" borderId="5">
      <alignment horizontal="right" vertical="center"/>
    </xf>
    <xf numFmtId="179" fontId="72" fillId="0" borderId="5">
      <alignment horizontal="right" vertical="center"/>
    </xf>
    <xf numFmtId="179" fontId="72" fillId="0" borderId="5">
      <alignment horizontal="right" vertical="center"/>
    </xf>
    <xf numFmtId="179" fontId="72" fillId="0" borderId="5">
      <alignment horizontal="right" vertical="center"/>
    </xf>
    <xf numFmtId="179" fontId="72"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179" fontId="11" fillId="0" borderId="5">
      <alignment horizontal="right" vertical="center"/>
    </xf>
    <xf numFmtId="179" fontId="11" fillId="0" borderId="5">
      <alignment horizontal="right" vertical="center"/>
    </xf>
    <xf numFmtId="323" fontId="42" fillId="0" borderId="5">
      <alignment horizontal="right" vertical="center"/>
    </xf>
    <xf numFmtId="323" fontId="42" fillId="0" borderId="5">
      <alignment horizontal="right" vertical="center"/>
    </xf>
    <xf numFmtId="179" fontId="72" fillId="0" borderId="5">
      <alignment horizontal="right" vertical="center"/>
    </xf>
    <xf numFmtId="179" fontId="72" fillId="0" borderId="5">
      <alignment horizontal="right" vertical="center"/>
    </xf>
    <xf numFmtId="179" fontId="72" fillId="0" borderId="5">
      <alignment horizontal="right" vertical="center"/>
    </xf>
    <xf numFmtId="179" fontId="72" fillId="0" borderId="5">
      <alignment horizontal="right" vertical="center"/>
    </xf>
    <xf numFmtId="179" fontId="72" fillId="0" borderId="5">
      <alignment horizontal="right" vertical="center"/>
    </xf>
    <xf numFmtId="179" fontId="72"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3" fontId="42" fillId="0" borderId="5">
      <alignment horizontal="right" vertical="center"/>
    </xf>
    <xf numFmtId="323" fontId="42" fillId="0" borderId="5">
      <alignment horizontal="right" vertical="center"/>
    </xf>
    <xf numFmtId="323" fontId="42" fillId="0" borderId="5">
      <alignment horizontal="right" vertical="center"/>
    </xf>
    <xf numFmtId="323" fontId="42"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3" fontId="42" fillId="0" borderId="5">
      <alignment horizontal="right" vertical="center"/>
    </xf>
    <xf numFmtId="323" fontId="42" fillId="0" borderId="5">
      <alignment horizontal="right" vertical="center"/>
    </xf>
    <xf numFmtId="177" fontId="11" fillId="0" borderId="5">
      <alignment horizontal="right" vertical="center"/>
    </xf>
    <xf numFmtId="177" fontId="11" fillId="0" borderId="5">
      <alignment horizontal="right" vertical="center"/>
    </xf>
    <xf numFmtId="177" fontId="72" fillId="0" borderId="5">
      <alignment horizontal="right" vertical="center"/>
    </xf>
    <xf numFmtId="177" fontId="72" fillId="0" borderId="5">
      <alignment horizontal="right" vertical="center"/>
    </xf>
    <xf numFmtId="177" fontId="72" fillId="0" borderId="5">
      <alignment horizontal="right" vertical="center"/>
    </xf>
    <xf numFmtId="177" fontId="72"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4" fontId="61" fillId="0" borderId="5">
      <alignment horizontal="right" vertical="center"/>
    </xf>
    <xf numFmtId="324" fontId="61" fillId="0" borderId="5">
      <alignment horizontal="right" vertical="center"/>
    </xf>
    <xf numFmtId="324" fontId="61" fillId="0" borderId="5">
      <alignment horizontal="right" vertical="center"/>
    </xf>
    <xf numFmtId="324" fontId="61" fillId="0" borderId="5">
      <alignment horizontal="right" vertical="center"/>
    </xf>
    <xf numFmtId="177" fontId="11" fillId="0" borderId="5">
      <alignment horizontal="right" vertical="center"/>
    </xf>
    <xf numFmtId="177" fontId="11" fillId="0" borderId="5">
      <alignment horizontal="right" vertical="center"/>
    </xf>
    <xf numFmtId="177" fontId="72" fillId="0" borderId="5">
      <alignment horizontal="right" vertical="center"/>
    </xf>
    <xf numFmtId="177" fontId="72" fillId="0" borderId="5">
      <alignment horizontal="right" vertical="center"/>
    </xf>
    <xf numFmtId="177" fontId="72" fillId="0" borderId="5">
      <alignment horizontal="right" vertical="center"/>
    </xf>
    <xf numFmtId="177" fontId="72" fillId="0" borderId="5">
      <alignment horizontal="right" vertical="center"/>
    </xf>
    <xf numFmtId="324" fontId="61" fillId="0" borderId="5">
      <alignment horizontal="right" vertical="center"/>
    </xf>
    <xf numFmtId="324" fontId="61" fillId="0" borderId="5">
      <alignment horizontal="right" vertical="center"/>
    </xf>
    <xf numFmtId="324" fontId="61" fillId="0" borderId="5">
      <alignment horizontal="right" vertical="center"/>
    </xf>
    <xf numFmtId="324" fontId="61" fillId="0" borderId="5">
      <alignment horizontal="right" vertical="center"/>
    </xf>
    <xf numFmtId="324" fontId="61" fillId="0" borderId="5">
      <alignment horizontal="right" vertical="center"/>
    </xf>
    <xf numFmtId="324" fontId="61" fillId="0" borderId="5">
      <alignment horizontal="right" vertical="center"/>
    </xf>
    <xf numFmtId="324" fontId="61" fillId="0" borderId="5">
      <alignment horizontal="right" vertical="center"/>
    </xf>
    <xf numFmtId="324" fontId="61" fillId="0" borderId="5">
      <alignment horizontal="right" vertical="center"/>
    </xf>
    <xf numFmtId="323" fontId="42" fillId="0" borderId="5">
      <alignment horizontal="right" vertical="center"/>
    </xf>
    <xf numFmtId="323" fontId="42" fillId="0" borderId="5">
      <alignment horizontal="right" vertical="center"/>
    </xf>
    <xf numFmtId="177" fontId="72" fillId="0" borderId="5">
      <alignment horizontal="right" vertical="center"/>
    </xf>
    <xf numFmtId="177" fontId="72" fillId="0" borderId="5">
      <alignment horizontal="right" vertical="center"/>
    </xf>
    <xf numFmtId="177" fontId="72" fillId="0" borderId="5">
      <alignment horizontal="right" vertical="center"/>
    </xf>
    <xf numFmtId="177" fontId="72" fillId="0" borderId="5">
      <alignment horizontal="right" vertical="center"/>
    </xf>
    <xf numFmtId="177" fontId="11" fillId="0" borderId="5">
      <alignment horizontal="right" vertical="center"/>
    </xf>
    <xf numFmtId="177" fontId="11" fillId="0" borderId="5">
      <alignment horizontal="right" vertical="center"/>
    </xf>
    <xf numFmtId="177" fontId="72" fillId="0" borderId="5">
      <alignment horizontal="right" vertical="center"/>
    </xf>
    <xf numFmtId="177" fontId="72" fillId="0" borderId="5">
      <alignment horizontal="right" vertical="center"/>
    </xf>
    <xf numFmtId="323" fontId="42" fillId="0" borderId="5">
      <alignment horizontal="right" vertical="center"/>
    </xf>
    <xf numFmtId="323" fontId="42" fillId="0" borderId="5">
      <alignment horizontal="right" vertical="center"/>
    </xf>
    <xf numFmtId="323" fontId="42" fillId="0" borderId="5">
      <alignment horizontal="right" vertical="center"/>
    </xf>
    <xf numFmtId="323" fontId="42" fillId="0" borderId="5">
      <alignment horizontal="right" vertical="center"/>
    </xf>
    <xf numFmtId="323" fontId="42" fillId="0" borderId="5">
      <alignment horizontal="right" vertical="center"/>
    </xf>
    <xf numFmtId="323" fontId="42"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3" fontId="42" fillId="0" borderId="5">
      <alignment horizontal="right" vertical="center"/>
    </xf>
    <xf numFmtId="323" fontId="42" fillId="0" borderId="5">
      <alignment horizontal="right" vertical="center"/>
    </xf>
    <xf numFmtId="327" fontId="195" fillId="4" borderId="39" applyFont="0" applyFill="0" applyBorder="0"/>
    <xf numFmtId="327" fontId="195" fillId="4" borderId="39" applyFont="0" applyFill="0" applyBorder="0"/>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3" fontId="42" fillId="0" borderId="5">
      <alignment horizontal="right" vertical="center"/>
    </xf>
    <xf numFmtId="323" fontId="42"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7" fontId="195" fillId="4" borderId="39" applyFont="0" applyFill="0" applyBorder="0"/>
    <xf numFmtId="327" fontId="195" fillId="4" borderId="39" applyFont="0" applyFill="0" applyBorder="0"/>
    <xf numFmtId="179" fontId="72" fillId="0" borderId="5">
      <alignment horizontal="right" vertical="center"/>
    </xf>
    <xf numFmtId="179" fontId="72" fillId="0" borderId="5">
      <alignment horizontal="right" vertical="center"/>
    </xf>
    <xf numFmtId="177" fontId="72" fillId="0" borderId="5">
      <alignment horizontal="right" vertical="center"/>
    </xf>
    <xf numFmtId="177" fontId="72" fillId="0" borderId="5">
      <alignment horizontal="right" vertical="center"/>
    </xf>
    <xf numFmtId="177" fontId="72" fillId="0" borderId="5">
      <alignment horizontal="right" vertical="center"/>
    </xf>
    <xf numFmtId="177" fontId="72" fillId="0" borderId="5">
      <alignment horizontal="right" vertical="center"/>
    </xf>
    <xf numFmtId="177" fontId="72" fillId="0" borderId="5">
      <alignment horizontal="right" vertical="center"/>
    </xf>
    <xf numFmtId="177" fontId="72"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177" fontId="72" fillId="0" borderId="5">
      <alignment horizontal="right" vertical="center"/>
    </xf>
    <xf numFmtId="177" fontId="72" fillId="0" borderId="5">
      <alignment horizontal="right" vertical="center"/>
    </xf>
    <xf numFmtId="177" fontId="72" fillId="0" borderId="5">
      <alignment horizontal="right" vertical="center"/>
    </xf>
    <xf numFmtId="177" fontId="72" fillId="0" borderId="5">
      <alignment horizontal="right" vertical="center"/>
    </xf>
    <xf numFmtId="177" fontId="72" fillId="0" borderId="5">
      <alignment horizontal="right" vertical="center"/>
    </xf>
    <xf numFmtId="177" fontId="72" fillId="0" borderId="5">
      <alignment horizontal="right" vertical="center"/>
    </xf>
    <xf numFmtId="177" fontId="72" fillId="0" borderId="5">
      <alignment horizontal="right" vertical="center"/>
    </xf>
    <xf numFmtId="177" fontId="72" fillId="0" borderId="5">
      <alignment horizontal="right" vertical="center"/>
    </xf>
    <xf numFmtId="177" fontId="72" fillId="0" borderId="5">
      <alignment horizontal="right" vertical="center"/>
    </xf>
    <xf numFmtId="177" fontId="72" fillId="0" borderId="5">
      <alignment horizontal="right" vertical="center"/>
    </xf>
    <xf numFmtId="177" fontId="11" fillId="0" borderId="5">
      <alignment horizontal="right" vertical="center"/>
    </xf>
    <xf numFmtId="177" fontId="11" fillId="0" borderId="5">
      <alignment horizontal="right" vertical="center"/>
    </xf>
    <xf numFmtId="177" fontId="72" fillId="0" borderId="5">
      <alignment horizontal="right" vertical="center"/>
    </xf>
    <xf numFmtId="177" fontId="72" fillId="0" borderId="5">
      <alignment horizontal="right" vertical="center"/>
    </xf>
    <xf numFmtId="177" fontId="72" fillId="0" borderId="5">
      <alignment horizontal="right" vertical="center"/>
    </xf>
    <xf numFmtId="177" fontId="72" fillId="0" borderId="5">
      <alignment horizontal="right" vertical="center"/>
    </xf>
    <xf numFmtId="177" fontId="72" fillId="0" borderId="5">
      <alignment horizontal="right" vertical="center"/>
    </xf>
    <xf numFmtId="177" fontId="72" fillId="0" borderId="5">
      <alignment horizontal="right" vertical="center"/>
    </xf>
    <xf numFmtId="177" fontId="11" fillId="0" borderId="5">
      <alignment horizontal="right" vertical="center"/>
    </xf>
    <xf numFmtId="177" fontId="11" fillId="0" borderId="5">
      <alignment horizontal="right" vertical="center"/>
    </xf>
    <xf numFmtId="177" fontId="72" fillId="0" borderId="5">
      <alignment horizontal="right" vertical="center"/>
    </xf>
    <xf numFmtId="177" fontId="72" fillId="0" borderId="5">
      <alignment horizontal="right" vertical="center"/>
    </xf>
    <xf numFmtId="323" fontId="42" fillId="0" borderId="5">
      <alignment horizontal="right" vertical="center"/>
    </xf>
    <xf numFmtId="323" fontId="42" fillId="0" borderId="5">
      <alignment horizontal="right" vertical="center"/>
    </xf>
    <xf numFmtId="177" fontId="72" fillId="0" borderId="5">
      <alignment horizontal="right" vertical="center"/>
    </xf>
    <xf numFmtId="177" fontId="72" fillId="0" borderId="5">
      <alignment horizontal="right" vertical="center"/>
    </xf>
    <xf numFmtId="177" fontId="72" fillId="0" borderId="5">
      <alignment horizontal="right" vertical="center"/>
    </xf>
    <xf numFmtId="177" fontId="72" fillId="0" borderId="5">
      <alignment horizontal="right" vertical="center"/>
    </xf>
    <xf numFmtId="177" fontId="11" fillId="0" borderId="5">
      <alignment horizontal="right" vertical="center"/>
    </xf>
    <xf numFmtId="177" fontId="11" fillId="0" borderId="5">
      <alignment horizontal="right" vertical="center"/>
    </xf>
    <xf numFmtId="177" fontId="72" fillId="0" borderId="5">
      <alignment horizontal="right" vertical="center"/>
    </xf>
    <xf numFmtId="177" fontId="72"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326" fontId="18" fillId="0" borderId="5">
      <alignment horizontal="right" vertical="center"/>
    </xf>
    <xf numFmtId="179" fontId="11" fillId="0" borderId="5">
      <alignment horizontal="right" vertical="center"/>
    </xf>
    <xf numFmtId="179" fontId="11"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250" fontId="18" fillId="0" borderId="5">
      <alignment horizontal="right" vertical="center"/>
    </xf>
    <xf numFmtId="250" fontId="18" fillId="0" borderId="5">
      <alignment horizontal="right" vertical="center"/>
    </xf>
    <xf numFmtId="250" fontId="18" fillId="0" borderId="5">
      <alignment horizontal="right" vertical="center"/>
    </xf>
    <xf numFmtId="250" fontId="18" fillId="0" borderId="5">
      <alignment horizontal="right" vertical="center"/>
    </xf>
    <xf numFmtId="250" fontId="18" fillId="0" borderId="5">
      <alignment horizontal="right" vertical="center"/>
    </xf>
    <xf numFmtId="250" fontId="18" fillId="0" borderId="5">
      <alignment horizontal="right" vertical="center"/>
    </xf>
    <xf numFmtId="250" fontId="18" fillId="0" borderId="5">
      <alignment horizontal="right" vertical="center"/>
    </xf>
    <xf numFmtId="250" fontId="18" fillId="0" borderId="5">
      <alignment horizontal="right" vertical="center"/>
    </xf>
    <xf numFmtId="250" fontId="18" fillId="0" borderId="5">
      <alignment horizontal="right" vertical="center"/>
    </xf>
    <xf numFmtId="250" fontId="18" fillId="0" borderId="5">
      <alignment horizontal="right" vertical="center"/>
    </xf>
    <xf numFmtId="250" fontId="18" fillId="0" borderId="5">
      <alignment horizontal="right" vertical="center"/>
    </xf>
    <xf numFmtId="250" fontId="18"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8" fontId="18" fillId="0" borderId="5">
      <alignment horizontal="right" vertical="center"/>
    </xf>
    <xf numFmtId="328" fontId="18" fillId="0" borderId="5">
      <alignment horizontal="right" vertical="center"/>
    </xf>
    <xf numFmtId="328" fontId="18" fillId="0" borderId="5">
      <alignment horizontal="right" vertical="center"/>
    </xf>
    <xf numFmtId="328" fontId="18" fillId="0" borderId="5">
      <alignment horizontal="right" vertical="center"/>
    </xf>
    <xf numFmtId="328" fontId="18" fillId="0" borderId="5">
      <alignment horizontal="right" vertical="center"/>
    </xf>
    <xf numFmtId="328" fontId="18"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3" fontId="42" fillId="0" borderId="5">
      <alignment horizontal="right" vertical="center"/>
    </xf>
    <xf numFmtId="323" fontId="42"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7" fontId="195" fillId="4" borderId="39" applyFont="0" applyFill="0" applyBorder="0"/>
    <xf numFmtId="327" fontId="195" fillId="4" borderId="39" applyFont="0" applyFill="0" applyBorder="0"/>
    <xf numFmtId="303" fontId="18" fillId="0" borderId="5">
      <alignment horizontal="right" vertical="center"/>
    </xf>
    <xf numFmtId="303" fontId="18" fillId="0" borderId="5">
      <alignment horizontal="right" vertical="center"/>
    </xf>
    <xf numFmtId="303" fontId="18" fillId="0" borderId="5">
      <alignment horizontal="right" vertical="center"/>
    </xf>
    <xf numFmtId="303" fontId="18" fillId="0" borderId="5">
      <alignment horizontal="right" vertical="center"/>
    </xf>
    <xf numFmtId="303" fontId="18" fillId="0" borderId="5">
      <alignment horizontal="right" vertical="center"/>
    </xf>
    <xf numFmtId="303" fontId="18" fillId="0" borderId="5">
      <alignment horizontal="right" vertical="center"/>
    </xf>
    <xf numFmtId="321" fontId="87" fillId="0" borderId="5">
      <alignment horizontal="right" vertical="center"/>
    </xf>
    <xf numFmtId="299" fontId="194" fillId="0" borderId="5">
      <alignment horizontal="right" vertical="center"/>
    </xf>
    <xf numFmtId="299" fontId="194" fillId="0" borderId="5">
      <alignment horizontal="right" vertical="center"/>
    </xf>
    <xf numFmtId="299" fontId="194" fillId="0" borderId="5">
      <alignment horizontal="right" vertical="center"/>
    </xf>
    <xf numFmtId="299" fontId="194" fillId="0" borderId="5">
      <alignment horizontal="right" vertical="center"/>
    </xf>
    <xf numFmtId="299" fontId="194" fillId="0" borderId="5">
      <alignment horizontal="right" vertical="center"/>
    </xf>
    <xf numFmtId="299" fontId="194" fillId="0" borderId="5">
      <alignment horizontal="right" vertical="center"/>
    </xf>
    <xf numFmtId="299" fontId="194" fillId="0" borderId="5">
      <alignment horizontal="right" vertical="center"/>
    </xf>
    <xf numFmtId="299" fontId="194" fillId="0" borderId="5">
      <alignment horizontal="right" vertical="center"/>
    </xf>
    <xf numFmtId="299" fontId="194" fillId="0" borderId="5">
      <alignment horizontal="right" vertical="center"/>
    </xf>
    <xf numFmtId="299" fontId="194" fillId="0" borderId="5">
      <alignment horizontal="right" vertical="center"/>
    </xf>
    <xf numFmtId="299" fontId="194" fillId="0" borderId="5">
      <alignment horizontal="right" vertical="center"/>
    </xf>
    <xf numFmtId="299" fontId="194"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250" fontId="18" fillId="0" borderId="5">
      <alignment horizontal="right" vertical="center"/>
    </xf>
    <xf numFmtId="250" fontId="18" fillId="0" borderId="5">
      <alignment horizontal="right" vertical="center"/>
    </xf>
    <xf numFmtId="250" fontId="18" fillId="0" borderId="5">
      <alignment horizontal="right" vertical="center"/>
    </xf>
    <xf numFmtId="250" fontId="18" fillId="0" borderId="5">
      <alignment horizontal="right" vertical="center"/>
    </xf>
    <xf numFmtId="250" fontId="18" fillId="0" borderId="5">
      <alignment horizontal="right" vertical="center"/>
    </xf>
    <xf numFmtId="250" fontId="18" fillId="0" borderId="5">
      <alignment horizontal="right" vertical="center"/>
    </xf>
    <xf numFmtId="250" fontId="18" fillId="0" borderId="5">
      <alignment horizontal="right" vertical="center"/>
    </xf>
    <xf numFmtId="250" fontId="18" fillId="0" borderId="5">
      <alignment horizontal="right" vertical="center"/>
    </xf>
    <xf numFmtId="250" fontId="18" fillId="0" borderId="5">
      <alignment horizontal="right" vertical="center"/>
    </xf>
    <xf numFmtId="250" fontId="18" fillId="0" borderId="5">
      <alignment horizontal="right" vertical="center"/>
    </xf>
    <xf numFmtId="250" fontId="18" fillId="0" borderId="5">
      <alignment horizontal="right" vertical="center"/>
    </xf>
    <xf numFmtId="250" fontId="18" fillId="0" borderId="5">
      <alignment horizontal="right" vertical="center"/>
    </xf>
    <xf numFmtId="327" fontId="195" fillId="4" borderId="39" applyFont="0" applyFill="0" applyBorder="0"/>
    <xf numFmtId="327" fontId="195" fillId="4" borderId="39" applyFont="0" applyFill="0" applyBorder="0"/>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5" fontId="1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1" fontId="87" fillId="0" borderId="5">
      <alignment horizontal="right" vertical="center"/>
    </xf>
    <xf numFmtId="329" fontId="196" fillId="0" borderId="5">
      <alignment horizontal="right" vertical="center"/>
    </xf>
    <xf numFmtId="329" fontId="196" fillId="0" borderId="5">
      <alignment horizontal="right" vertical="center"/>
    </xf>
    <xf numFmtId="321" fontId="87" fillId="0" borderId="5">
      <alignment horizontal="right" vertical="center"/>
    </xf>
    <xf numFmtId="321" fontId="87" fillId="0" borderId="5">
      <alignment horizontal="right" vertical="center"/>
    </xf>
    <xf numFmtId="329" fontId="196" fillId="0" borderId="5">
      <alignment horizontal="right" vertical="center"/>
    </xf>
    <xf numFmtId="329" fontId="196" fillId="0" borderId="5">
      <alignment horizontal="right" vertical="center"/>
    </xf>
    <xf numFmtId="329" fontId="196" fillId="0" borderId="5">
      <alignment horizontal="right" vertical="center"/>
    </xf>
    <xf numFmtId="329" fontId="196" fillId="0" borderId="5">
      <alignment horizontal="right" vertical="center"/>
    </xf>
    <xf numFmtId="329" fontId="196" fillId="0" borderId="5">
      <alignment horizontal="right" vertical="center"/>
    </xf>
    <xf numFmtId="329" fontId="196" fillId="0" borderId="5">
      <alignment horizontal="right" vertical="center"/>
    </xf>
    <xf numFmtId="329" fontId="196" fillId="0" borderId="5">
      <alignment horizontal="right" vertical="center"/>
    </xf>
    <xf numFmtId="329" fontId="196" fillId="0" borderId="5">
      <alignment horizontal="right" vertical="center"/>
    </xf>
    <xf numFmtId="329" fontId="196" fillId="0" borderId="5">
      <alignment horizontal="right" vertical="center"/>
    </xf>
    <xf numFmtId="329" fontId="196" fillId="0" borderId="5">
      <alignment horizontal="right" vertical="center"/>
    </xf>
    <xf numFmtId="329" fontId="196" fillId="0" borderId="5">
      <alignment horizontal="right" vertical="center"/>
    </xf>
    <xf numFmtId="329" fontId="196" fillId="0" borderId="5">
      <alignment horizontal="right" vertical="center"/>
    </xf>
    <xf numFmtId="329" fontId="196" fillId="0" borderId="5">
      <alignment horizontal="right" vertical="center"/>
    </xf>
    <xf numFmtId="329" fontId="196" fillId="0" borderId="5">
      <alignment horizontal="right" vertical="center"/>
    </xf>
    <xf numFmtId="329" fontId="196" fillId="0" borderId="5">
      <alignment horizontal="right" vertical="center"/>
    </xf>
    <xf numFmtId="329" fontId="196" fillId="0" borderId="5">
      <alignment horizontal="right" vertical="center"/>
    </xf>
    <xf numFmtId="329" fontId="196" fillId="0" borderId="5">
      <alignment horizontal="right" vertical="center"/>
    </xf>
    <xf numFmtId="329" fontId="196" fillId="0" borderId="5">
      <alignment horizontal="right" vertical="center"/>
    </xf>
    <xf numFmtId="323" fontId="42" fillId="0" borderId="5">
      <alignment horizontal="right" vertical="center"/>
    </xf>
    <xf numFmtId="323" fontId="42" fillId="0" borderId="5">
      <alignment horizontal="right" vertical="center"/>
    </xf>
    <xf numFmtId="321" fontId="87" fillId="0" borderId="5">
      <alignment horizontal="right" vertical="center"/>
    </xf>
    <xf numFmtId="321" fontId="87" fillId="0" borderId="5">
      <alignment horizontal="right" vertical="center"/>
    </xf>
    <xf numFmtId="49" fontId="53" fillId="0" borderId="0" applyFill="0" applyBorder="0" applyAlignment="0"/>
    <xf numFmtId="0" fontId="72" fillId="0" borderId="0" applyFill="0" applyBorder="0" applyAlignment="0"/>
    <xf numFmtId="330" fontId="11" fillId="0" borderId="0" applyFill="0" applyBorder="0" applyAlignment="0"/>
    <xf numFmtId="330" fontId="11" fillId="0" borderId="0" applyFill="0" applyBorder="0" applyAlignment="0"/>
    <xf numFmtId="330" fontId="11" fillId="0" borderId="0" applyFill="0" applyBorder="0" applyAlignment="0"/>
    <xf numFmtId="330" fontId="11" fillId="0" borderId="0" applyFill="0" applyBorder="0" applyAlignment="0"/>
    <xf numFmtId="330" fontId="11" fillId="0" borderId="0" applyFill="0" applyBorder="0" applyAlignment="0"/>
    <xf numFmtId="330" fontId="11" fillId="0" borderId="0" applyFill="0" applyBorder="0" applyAlignment="0"/>
    <xf numFmtId="330" fontId="11" fillId="0" borderId="0" applyFill="0" applyBorder="0" applyAlignment="0"/>
    <xf numFmtId="330" fontId="11" fillId="0" borderId="0" applyFill="0" applyBorder="0" applyAlignment="0"/>
    <xf numFmtId="330" fontId="11" fillId="0" borderId="0" applyFill="0" applyBorder="0" applyAlignment="0"/>
    <xf numFmtId="330" fontId="11" fillId="0" borderId="0" applyFill="0" applyBorder="0" applyAlignment="0"/>
    <xf numFmtId="330" fontId="11" fillId="0" borderId="0" applyFill="0" applyBorder="0" applyAlignment="0"/>
    <xf numFmtId="330" fontId="11" fillId="0" borderId="0" applyFill="0" applyBorder="0" applyAlignment="0"/>
    <xf numFmtId="330" fontId="11" fillId="0" borderId="0" applyFill="0" applyBorder="0" applyAlignment="0"/>
    <xf numFmtId="330" fontId="11" fillId="0" borderId="0" applyFill="0" applyBorder="0" applyAlignment="0"/>
    <xf numFmtId="330" fontId="11" fillId="0" borderId="0" applyFill="0" applyBorder="0" applyAlignment="0"/>
    <xf numFmtId="328" fontId="72" fillId="0" borderId="0" applyFill="0" applyBorder="0" applyAlignment="0"/>
    <xf numFmtId="331" fontId="11" fillId="0" borderId="0" applyFill="0" applyBorder="0" applyAlignment="0"/>
    <xf numFmtId="331" fontId="11" fillId="0" borderId="0" applyFill="0" applyBorder="0" applyAlignment="0"/>
    <xf numFmtId="331" fontId="11" fillId="0" borderId="0" applyFill="0" applyBorder="0" applyAlignment="0"/>
    <xf numFmtId="331" fontId="11" fillId="0" borderId="0" applyFill="0" applyBorder="0" applyAlignment="0"/>
    <xf numFmtId="331" fontId="11" fillId="0" borderId="0" applyFill="0" applyBorder="0" applyAlignment="0"/>
    <xf numFmtId="331" fontId="11" fillId="0" borderId="0" applyFill="0" applyBorder="0" applyAlignment="0"/>
    <xf numFmtId="331" fontId="11" fillId="0" borderId="0" applyFill="0" applyBorder="0" applyAlignment="0"/>
    <xf numFmtId="331" fontId="11" fillId="0" borderId="0" applyFill="0" applyBorder="0" applyAlignment="0"/>
    <xf numFmtId="331" fontId="11" fillId="0" borderId="0" applyFill="0" applyBorder="0" applyAlignment="0"/>
    <xf numFmtId="331" fontId="11" fillId="0" borderId="0" applyFill="0" applyBorder="0" applyAlignment="0"/>
    <xf numFmtId="331" fontId="11" fillId="0" borderId="0" applyFill="0" applyBorder="0" applyAlignment="0"/>
    <xf numFmtId="331" fontId="11" fillId="0" borderId="0" applyFill="0" applyBorder="0" applyAlignment="0"/>
    <xf numFmtId="331" fontId="11" fillId="0" borderId="0" applyFill="0" applyBorder="0" applyAlignment="0"/>
    <xf numFmtId="331" fontId="11" fillId="0" borderId="0" applyFill="0" applyBorder="0" applyAlignment="0"/>
    <xf numFmtId="331" fontId="11" fillId="0" borderId="0" applyFill="0" applyBorder="0" applyAlignment="0"/>
    <xf numFmtId="188" fontId="87" fillId="0" borderId="5">
      <alignment horizontal="center"/>
    </xf>
    <xf numFmtId="188" fontId="87" fillId="0" borderId="5">
      <alignment horizontal="center"/>
    </xf>
    <xf numFmtId="0" fontId="197" fillId="0" borderId="40" applyProtection="0"/>
    <xf numFmtId="0" fontId="87" fillId="0" borderId="0" applyProtection="0"/>
    <xf numFmtId="0" fontId="11" fillId="0" borderId="0" applyProtection="0"/>
    <xf numFmtId="0" fontId="95" fillId="0" borderId="0" applyProtection="0"/>
    <xf numFmtId="0" fontId="197" fillId="0" borderId="40" applyProtection="0"/>
    <xf numFmtId="0" fontId="87" fillId="0" borderId="0" applyProtection="0"/>
    <xf numFmtId="0" fontId="11" fillId="0" borderId="0" applyProtection="0"/>
    <xf numFmtId="0" fontId="95" fillId="0" borderId="0" applyProtection="0"/>
    <xf numFmtId="332" fontId="198" fillId="0" borderId="0" applyNumberFormat="0" applyFont="0" applyFill="0" applyBorder="0" applyAlignment="0">
      <alignment horizontal="centerContinuous"/>
    </xf>
    <xf numFmtId="0" fontId="45" fillId="0" borderId="0">
      <alignment vertical="center" wrapText="1"/>
      <protection locked="0"/>
    </xf>
    <xf numFmtId="0" fontId="197" fillId="0" borderId="41"/>
    <xf numFmtId="0" fontId="197" fillId="0" borderId="41"/>
    <xf numFmtId="0" fontId="87" fillId="0" borderId="0" applyNumberFormat="0" applyFill="0" applyBorder="0" applyAlignment="0" applyProtection="0"/>
    <xf numFmtId="0" fontId="87" fillId="0" borderId="0" applyNumberFormat="0" applyFill="0" applyBorder="0" applyAlignment="0" applyProtection="0"/>
    <xf numFmtId="0" fontId="72"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61" fillId="0" borderId="32" applyNumberFormat="0" applyBorder="0" applyAlignment="0"/>
    <xf numFmtId="0" fontId="199" fillId="0" borderId="31" applyNumberFormat="0" applyBorder="0" applyAlignment="0">
      <alignment horizontal="center"/>
    </xf>
    <xf numFmtId="0" fontId="199" fillId="0" borderId="31" applyNumberFormat="0" applyBorder="0" applyAlignment="0">
      <alignment horizontal="center"/>
    </xf>
    <xf numFmtId="3" fontId="200" fillId="0" borderId="23" applyNumberFormat="0" applyBorder="0" applyAlignment="0"/>
    <xf numFmtId="0" fontId="201" fillId="0" borderId="0" applyFill="0" applyBorder="0" applyProtection="0">
      <alignment horizontal="left" vertical="top"/>
    </xf>
    <xf numFmtId="0" fontId="202" fillId="0" borderId="32">
      <alignment horizontal="center" vertical="center" wrapText="1"/>
    </xf>
    <xf numFmtId="0" fontId="203" fillId="0" borderId="0">
      <alignment horizontal="center"/>
    </xf>
    <xf numFmtId="40" fontId="128" fillId="0" borderId="0"/>
    <xf numFmtId="3" fontId="204" fillId="0" borderId="0" applyNumberFormat="0" applyFill="0" applyBorder="0" applyAlignment="0" applyProtection="0">
      <alignment horizontal="center" wrapText="1"/>
    </xf>
    <xf numFmtId="0" fontId="205" fillId="0" borderId="2" applyBorder="0" applyAlignment="0">
      <alignment horizontal="center" vertical="center"/>
    </xf>
    <xf numFmtId="0" fontId="205" fillId="0" borderId="2" applyBorder="0" applyAlignment="0">
      <alignment horizontal="center" vertical="center"/>
    </xf>
    <xf numFmtId="0" fontId="206" fillId="0" borderId="0" applyNumberFormat="0" applyFill="0" applyBorder="0" applyAlignment="0" applyProtection="0">
      <alignment horizontal="centerContinuous"/>
    </xf>
    <xf numFmtId="0" fontId="129" fillId="0" borderId="42" applyNumberFormat="0" applyFill="0" applyBorder="0" applyAlignment="0" applyProtection="0">
      <alignment horizontal="center" vertical="center" wrapText="1"/>
    </xf>
    <xf numFmtId="0" fontId="207" fillId="0" borderId="0" applyNumberFormat="0" applyFill="0" applyBorder="0" applyAlignment="0" applyProtection="0"/>
    <xf numFmtId="3" fontId="208" fillId="0" borderId="3" applyNumberFormat="0" applyAlignment="0">
      <alignment horizontal="center" vertical="center"/>
    </xf>
    <xf numFmtId="3" fontId="209" fillId="0" borderId="32" applyNumberFormat="0" applyAlignment="0">
      <alignment horizontal="left" wrapText="1"/>
    </xf>
    <xf numFmtId="3" fontId="208" fillId="0" borderId="3" applyNumberFormat="0" applyAlignment="0">
      <alignment horizontal="center" vertical="center"/>
    </xf>
    <xf numFmtId="0" fontId="210" fillId="0" borderId="43" applyNumberFormat="0" applyBorder="0" applyAlignment="0">
      <alignment vertical="center"/>
    </xf>
    <xf numFmtId="0" fontId="211" fillId="0" borderId="44" applyNumberFormat="0" applyFill="0" applyAlignment="0" applyProtection="0"/>
    <xf numFmtId="0" fontId="151" fillId="0" borderId="45" applyNumberFormat="0" applyAlignment="0">
      <alignment horizontal="center"/>
    </xf>
    <xf numFmtId="0" fontId="212" fillId="0" borderId="46">
      <alignment horizontal="center"/>
    </xf>
    <xf numFmtId="193" fontId="72" fillId="0" borderId="0" applyFont="0" applyFill="0" applyBorder="0" applyAlignment="0" applyProtection="0"/>
    <xf numFmtId="333" fontId="72" fillId="0" borderId="0" applyFont="0" applyFill="0" applyBorder="0" applyAlignment="0" applyProtection="0"/>
    <xf numFmtId="258" fontId="141" fillId="0" borderId="0" applyFont="0" applyFill="0" applyBorder="0" applyAlignment="0" applyProtection="0"/>
    <xf numFmtId="196" fontId="72" fillId="0" borderId="0" applyFont="0" applyFill="0" applyBorder="0" applyAlignment="0" applyProtection="0"/>
    <xf numFmtId="334" fontId="72" fillId="0" borderId="0" applyFont="0" applyFill="0" applyBorder="0" applyAlignment="0" applyProtection="0"/>
    <xf numFmtId="0" fontId="35" fillId="0" borderId="47">
      <alignment horizontal="center"/>
    </xf>
    <xf numFmtId="0" fontId="35" fillId="0" borderId="47">
      <alignment horizontal="center"/>
    </xf>
    <xf numFmtId="328" fontId="87" fillId="0" borderId="0"/>
    <xf numFmtId="335" fontId="87" fillId="0" borderId="1"/>
    <xf numFmtId="335" fontId="87" fillId="0" borderId="1"/>
    <xf numFmtId="0" fontId="213" fillId="0" borderId="0"/>
    <xf numFmtId="0" fontId="213" fillId="0" borderId="0" applyProtection="0"/>
    <xf numFmtId="0" fontId="155" fillId="0" borderId="0"/>
    <xf numFmtId="0" fontId="213" fillId="0" borderId="0"/>
    <xf numFmtId="0" fontId="155" fillId="0" borderId="0"/>
    <xf numFmtId="3" fontId="87" fillId="0" borderId="0" applyNumberFormat="0" applyBorder="0" applyAlignment="0" applyProtection="0">
      <alignment horizontal="centerContinuous"/>
      <protection locked="0"/>
    </xf>
    <xf numFmtId="3" fontId="214" fillId="0" borderId="0">
      <protection locked="0"/>
    </xf>
    <xf numFmtId="3" fontId="60" fillId="0" borderId="0">
      <protection locked="0"/>
    </xf>
    <xf numFmtId="3" fontId="60" fillId="0" borderId="0">
      <protection locked="0"/>
    </xf>
    <xf numFmtId="0" fontId="213" fillId="0" borderId="0"/>
    <xf numFmtId="0" fontId="213" fillId="0" borderId="0" applyProtection="0"/>
    <xf numFmtId="0" fontId="155" fillId="0" borderId="0"/>
    <xf numFmtId="0" fontId="213" fillId="0" borderId="0"/>
    <xf numFmtId="0" fontId="155" fillId="0" borderId="0"/>
    <xf numFmtId="0" fontId="215" fillId="0" borderId="48" applyFill="0" applyBorder="0" applyAlignment="0">
      <alignment horizontal="center"/>
    </xf>
    <xf numFmtId="164" fontId="216" fillId="48" borderId="2">
      <alignment vertical="top"/>
    </xf>
    <xf numFmtId="164" fontId="216" fillId="48" borderId="2">
      <alignment vertical="top"/>
    </xf>
    <xf numFmtId="297" fontId="216" fillId="48" borderId="2">
      <alignment vertical="top"/>
    </xf>
    <xf numFmtId="0" fontId="217" fillId="49" borderId="1">
      <alignment horizontal="left" vertical="center"/>
    </xf>
    <xf numFmtId="0" fontId="217" fillId="49" borderId="1">
      <alignment horizontal="left" vertical="center"/>
    </xf>
    <xf numFmtId="165" fontId="218" fillId="50" borderId="2"/>
    <xf numFmtId="165" fontId="218" fillId="50" borderId="2"/>
    <xf numFmtId="336" fontId="218" fillId="50" borderId="2"/>
    <xf numFmtId="164" fontId="139" fillId="0" borderId="2">
      <alignment horizontal="left" vertical="top"/>
    </xf>
    <xf numFmtId="164" fontId="139" fillId="0" borderId="2">
      <alignment horizontal="left" vertical="top"/>
    </xf>
    <xf numFmtId="297" fontId="219" fillId="0" borderId="2">
      <alignment horizontal="left" vertical="top"/>
    </xf>
    <xf numFmtId="0" fontId="220" fillId="51" borderId="0">
      <alignment horizontal="left" vertical="center"/>
    </xf>
    <xf numFmtId="164" fontId="41" fillId="0" borderId="3">
      <alignment horizontal="left" vertical="top"/>
    </xf>
    <xf numFmtId="258" fontId="41" fillId="0" borderId="3">
      <alignment horizontal="left" vertical="top"/>
    </xf>
    <xf numFmtId="258" fontId="41" fillId="0" borderId="3">
      <alignment horizontal="left" vertical="top"/>
    </xf>
    <xf numFmtId="258" fontId="41" fillId="0" borderId="3">
      <alignment horizontal="left" vertical="top"/>
    </xf>
    <xf numFmtId="258" fontId="41" fillId="0" borderId="3">
      <alignment horizontal="left" vertical="top"/>
    </xf>
    <xf numFmtId="258" fontId="41" fillId="0" borderId="3">
      <alignment horizontal="left" vertical="top"/>
    </xf>
    <xf numFmtId="258" fontId="41" fillId="0" borderId="3">
      <alignment horizontal="left" vertical="top"/>
    </xf>
    <xf numFmtId="297" fontId="221" fillId="0" borderId="3">
      <alignment horizontal="left" vertical="top"/>
    </xf>
    <xf numFmtId="258" fontId="41" fillId="0" borderId="3">
      <alignment horizontal="left" vertical="top"/>
    </xf>
    <xf numFmtId="258" fontId="41" fillId="0" borderId="3">
      <alignment horizontal="left" vertical="top"/>
    </xf>
    <xf numFmtId="258" fontId="41" fillId="0" borderId="3">
      <alignment horizontal="left" vertical="top"/>
    </xf>
    <xf numFmtId="258" fontId="41" fillId="0" borderId="3">
      <alignment horizontal="left" vertical="top"/>
    </xf>
    <xf numFmtId="258" fontId="41" fillId="0" borderId="3">
      <alignment horizontal="left" vertical="top"/>
    </xf>
    <xf numFmtId="258" fontId="41" fillId="0" borderId="3">
      <alignment horizontal="left" vertical="top"/>
    </xf>
    <xf numFmtId="258" fontId="41" fillId="0" borderId="3">
      <alignment horizontal="left" vertical="top"/>
    </xf>
    <xf numFmtId="258" fontId="41" fillId="0" borderId="3">
      <alignment horizontal="left" vertical="top"/>
    </xf>
    <xf numFmtId="258" fontId="41" fillId="0" borderId="3">
      <alignment horizontal="left" vertical="top"/>
    </xf>
    <xf numFmtId="0" fontId="222" fillId="0" borderId="3">
      <alignment horizontal="left" vertical="center"/>
    </xf>
    <xf numFmtId="0" fontId="11" fillId="0" borderId="0" applyFont="0" applyFill="0" applyBorder="0" applyAlignment="0" applyProtection="0"/>
    <xf numFmtId="0" fontId="11" fillId="0" borderId="0" applyFont="0" applyFill="0" applyBorder="0" applyAlignment="0" applyProtection="0"/>
    <xf numFmtId="337" fontId="11" fillId="0" borderId="0" applyFont="0" applyFill="0" applyBorder="0" applyAlignment="0" applyProtection="0"/>
    <xf numFmtId="338" fontId="11" fillId="0" borderId="0" applyFont="0" applyFill="0" applyBorder="0" applyAlignment="0" applyProtection="0"/>
    <xf numFmtId="166" fontId="111" fillId="0" borderId="0" applyFont="0" applyFill="0" applyBorder="0" applyAlignment="0" applyProtection="0"/>
    <xf numFmtId="168" fontId="111" fillId="0" borderId="0" applyFont="0" applyFill="0" applyBorder="0" applyAlignment="0" applyProtection="0"/>
    <xf numFmtId="0" fontId="223" fillId="0" borderId="0" applyNumberFormat="0" applyFill="0" applyBorder="0" applyAlignment="0" applyProtection="0"/>
    <xf numFmtId="0" fontId="224" fillId="0" borderId="0" applyNumberFormat="0" applyFont="0" applyFill="0" applyBorder="0" applyProtection="0">
      <alignment horizontal="center" vertical="center" wrapText="1"/>
    </xf>
    <xf numFmtId="0" fontId="11" fillId="0" borderId="0" applyFont="0" applyFill="0" applyBorder="0" applyAlignment="0" applyProtection="0"/>
    <xf numFmtId="0" fontId="11" fillId="0" borderId="0" applyFont="0" applyFill="0" applyBorder="0" applyAlignment="0" applyProtection="0"/>
    <xf numFmtId="0" fontId="225" fillId="0" borderId="49" applyNumberFormat="0" applyFont="0" applyAlignment="0">
      <alignment horizontal="center"/>
    </xf>
    <xf numFmtId="0" fontId="226" fillId="0" borderId="0" applyNumberFormat="0" applyFill="0" applyBorder="0" applyAlignment="0" applyProtection="0"/>
    <xf numFmtId="0" fontId="17" fillId="0" borderId="50" applyFont="0" applyBorder="0" applyAlignment="0">
      <alignment horizontal="center"/>
    </xf>
    <xf numFmtId="0" fontId="17" fillId="0" borderId="50" applyFont="0" applyBorder="0" applyAlignment="0">
      <alignment horizontal="center"/>
    </xf>
    <xf numFmtId="193" fontId="18" fillId="0" borderId="0" applyFont="0" applyFill="0" applyBorder="0" applyAlignment="0" applyProtection="0"/>
    <xf numFmtId="166" fontId="227" fillId="0" borderId="0" applyFont="0" applyFill="0" applyBorder="0" applyAlignment="0" applyProtection="0"/>
    <xf numFmtId="168" fontId="227" fillId="0" borderId="0" applyFont="0" applyFill="0" applyBorder="0" applyAlignment="0" applyProtection="0"/>
    <xf numFmtId="0" fontId="227" fillId="0" borderId="0"/>
    <xf numFmtId="0" fontId="228" fillId="0" borderId="0" applyFont="0" applyFill="0" applyBorder="0" applyAlignment="0" applyProtection="0"/>
    <xf numFmtId="0" fontId="228" fillId="0" borderId="0" applyFont="0" applyFill="0" applyBorder="0" applyAlignment="0" applyProtection="0"/>
    <xf numFmtId="0" fontId="13" fillId="0" borderId="0">
      <alignment vertical="center"/>
    </xf>
    <xf numFmtId="40" fontId="229" fillId="0" borderId="0" applyFont="0" applyFill="0" applyBorder="0" applyAlignment="0" applyProtection="0"/>
    <xf numFmtId="38" fontId="229" fillId="0" borderId="0" applyFont="0" applyFill="0" applyBorder="0" applyAlignment="0" applyProtection="0"/>
    <xf numFmtId="0" fontId="229" fillId="0" borderId="0" applyFont="0" applyFill="0" applyBorder="0" applyAlignment="0" applyProtection="0"/>
    <xf numFmtId="0" fontId="229" fillId="0" borderId="0" applyFont="0" applyFill="0" applyBorder="0" applyAlignment="0" applyProtection="0"/>
    <xf numFmtId="9" fontId="230" fillId="0" borderId="0" applyBorder="0" applyAlignment="0" applyProtection="0"/>
    <xf numFmtId="0" fontId="231" fillId="0" borderId="0"/>
    <xf numFmtId="0" fontId="232" fillId="0" borderId="15"/>
    <xf numFmtId="202" fontId="39"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58" fillId="0" borderId="0" applyFont="0" applyFill="0" applyBorder="0" applyAlignment="0" applyProtection="0"/>
    <xf numFmtId="0" fontId="158" fillId="0" borderId="0" applyFont="0" applyFill="0" applyBorder="0" applyAlignment="0" applyProtection="0"/>
    <xf numFmtId="196" fontId="11" fillId="0" borderId="0" applyFont="0" applyFill="0" applyBorder="0" applyAlignment="0" applyProtection="0"/>
    <xf numFmtId="236" fontId="11" fillId="0" borderId="0" applyFont="0" applyFill="0" applyBorder="0" applyAlignment="0" applyProtection="0"/>
    <xf numFmtId="0" fontId="158" fillId="0" borderId="0"/>
    <xf numFmtId="0" fontId="158" fillId="0" borderId="0"/>
    <xf numFmtId="0" fontId="233" fillId="0" borderId="0"/>
    <xf numFmtId="0" fontId="58" fillId="0" borderId="0"/>
    <xf numFmtId="193" fontId="40" fillId="0" borderId="0" applyFont="0" applyFill="0" applyBorder="0" applyAlignment="0" applyProtection="0"/>
    <xf numFmtId="175" fontId="40" fillId="0" borderId="0" applyFont="0" applyFill="0" applyBorder="0" applyAlignment="0" applyProtection="0"/>
    <xf numFmtId="169" fontId="11" fillId="0" borderId="0" applyFont="0" applyFill="0" applyBorder="0" applyAlignment="0" applyProtection="0"/>
    <xf numFmtId="167" fontId="11" fillId="0" borderId="0" applyFont="0" applyFill="0" applyBorder="0" applyAlignment="0" applyProtection="0"/>
    <xf numFmtId="0" fontId="11" fillId="0" borderId="0"/>
    <xf numFmtId="200" fontId="40" fillId="0" borderId="0" applyFont="0" applyFill="0" applyBorder="0" applyAlignment="0" applyProtection="0"/>
    <xf numFmtId="170" fontId="48" fillId="0" borderId="0" applyFont="0" applyFill="0" applyBorder="0" applyAlignment="0" applyProtection="0"/>
    <xf numFmtId="339" fontId="40" fillId="0" borderId="0" applyFont="0" applyFill="0" applyBorder="0" applyAlignment="0" applyProtection="0"/>
    <xf numFmtId="168" fontId="11" fillId="0" borderId="0" applyFont="0" applyFill="0" applyBorder="0" applyAlignment="0" applyProtection="0"/>
    <xf numFmtId="166" fontId="11" fillId="0" borderId="0" applyFont="0" applyFill="0" applyBorder="0" applyAlignment="0" applyProtection="0"/>
    <xf numFmtId="0" fontId="3" fillId="0" borderId="0"/>
    <xf numFmtId="0" fontId="2" fillId="0" borderId="0"/>
    <xf numFmtId="169" fontId="2" fillId="0" borderId="0" applyFont="0" applyFill="0" applyBorder="0" applyAlignment="0" applyProtection="0"/>
    <xf numFmtId="169" fontId="10" fillId="0" borderId="0" applyProtection="0"/>
    <xf numFmtId="174" fontId="10" fillId="0" borderId="0" applyFont="0" applyFill="0" applyBorder="0" applyAlignment="0" applyProtection="0"/>
    <xf numFmtId="0" fontId="2" fillId="0" borderId="0"/>
    <xf numFmtId="0" fontId="1" fillId="0" borderId="0"/>
    <xf numFmtId="169" fontId="1" fillId="0" borderId="0" applyFont="0" applyFill="0" applyBorder="0" applyAlignment="0" applyProtection="0"/>
    <xf numFmtId="9" fontId="1" fillId="0" borderId="0" applyFont="0" applyFill="0" applyBorder="0" applyAlignment="0" applyProtection="0"/>
    <xf numFmtId="0" fontId="22" fillId="0" borderId="0"/>
    <xf numFmtId="0" fontId="72" fillId="0" borderId="0"/>
    <xf numFmtId="0" fontId="8" fillId="0" borderId="0"/>
  </cellStyleXfs>
  <cellXfs count="1793">
    <xf numFmtId="0" fontId="0" fillId="0" borderId="0" xfId="0"/>
    <xf numFmtId="1" fontId="13" fillId="0" borderId="1" xfId="10" applyNumberFormat="1" applyFont="1" applyFill="1" applyBorder="1" applyAlignment="1">
      <alignment horizontal="left" vertical="center" wrapText="1"/>
    </xf>
    <xf numFmtId="0" fontId="13" fillId="0" borderId="1" xfId="2" applyNumberFormat="1" applyFont="1" applyFill="1" applyBorder="1" applyAlignment="1">
      <alignment horizontal="center" vertical="center" wrapText="1"/>
    </xf>
    <xf numFmtId="0" fontId="13" fillId="0" borderId="1" xfId="5" applyNumberFormat="1" applyFont="1" applyFill="1" applyBorder="1" applyAlignment="1">
      <alignment horizontal="center" vertical="center" wrapText="1"/>
    </xf>
    <xf numFmtId="0" fontId="22" fillId="0" borderId="1" xfId="2" applyNumberFormat="1" applyFont="1" applyFill="1" applyBorder="1" applyAlignment="1">
      <alignment horizontal="center" vertical="center" wrapText="1"/>
    </xf>
    <xf numFmtId="3" fontId="22" fillId="0" borderId="1" xfId="30" applyNumberFormat="1" applyFont="1" applyFill="1" applyBorder="1" applyAlignment="1">
      <alignment horizontal="left" vertical="center" wrapText="1"/>
    </xf>
    <xf numFmtId="0" fontId="22" fillId="0" borderId="1" xfId="4" applyFont="1" applyFill="1" applyBorder="1" applyAlignment="1">
      <alignment horizontal="left" vertical="center" wrapText="1"/>
    </xf>
    <xf numFmtId="3" fontId="22" fillId="0" borderId="1" xfId="32" applyNumberFormat="1" applyFont="1" applyFill="1" applyBorder="1" applyAlignment="1">
      <alignment horizontal="left" vertical="center" wrapText="1"/>
    </xf>
    <xf numFmtId="0" fontId="19" fillId="0" borderId="0" xfId="2" applyNumberFormat="1" applyFont="1" applyFill="1" applyBorder="1" applyAlignment="1">
      <alignment horizontal="center" vertical="center" wrapText="1"/>
    </xf>
    <xf numFmtId="176" fontId="19" fillId="0" borderId="1" xfId="2" applyNumberFormat="1" applyFont="1" applyFill="1" applyBorder="1" applyAlignment="1">
      <alignment horizontal="center" vertical="center" wrapText="1"/>
    </xf>
    <xf numFmtId="0" fontId="13" fillId="0" borderId="1" xfId="5" applyNumberFormat="1" applyFont="1" applyFill="1" applyBorder="1" applyAlignment="1">
      <alignment horizontal="center" vertical="center"/>
    </xf>
    <xf numFmtId="176" fontId="13" fillId="0" borderId="1" xfId="1" applyNumberFormat="1" applyFont="1" applyFill="1" applyBorder="1" applyAlignment="1">
      <alignment horizontal="center" vertical="center" wrapText="1"/>
    </xf>
    <xf numFmtId="0" fontId="26" fillId="0" borderId="0" xfId="2" applyNumberFormat="1" applyFont="1" applyFill="1" applyBorder="1" applyAlignment="1">
      <alignment horizontal="center" vertical="center" wrapText="1"/>
    </xf>
    <xf numFmtId="167" fontId="13" fillId="0" borderId="1" xfId="27" applyNumberFormat="1" applyFont="1" applyFill="1" applyBorder="1" applyAlignment="1">
      <alignment horizontal="left" vertical="center" wrapText="1"/>
    </xf>
    <xf numFmtId="0" fontId="22" fillId="0" borderId="0" xfId="2" applyNumberFormat="1" applyFont="1" applyFill="1" applyBorder="1" applyAlignment="1">
      <alignment horizontal="center" vertical="center" wrapText="1"/>
    </xf>
    <xf numFmtId="0" fontId="25" fillId="0" borderId="0" xfId="0" applyFont="1" applyFill="1" applyBorder="1"/>
    <xf numFmtId="183" fontId="25" fillId="0" borderId="0" xfId="0" applyNumberFormat="1" applyFont="1" applyFill="1" applyBorder="1"/>
    <xf numFmtId="49" fontId="25" fillId="0" borderId="0" xfId="0" applyNumberFormat="1" applyFont="1" applyFill="1" applyBorder="1"/>
    <xf numFmtId="0" fontId="25" fillId="0" borderId="0" xfId="0" applyFont="1" applyFill="1" applyBorder="1" applyAlignment="1">
      <alignment horizontal="left"/>
    </xf>
    <xf numFmtId="0" fontId="19" fillId="0" borderId="1" xfId="5" applyNumberFormat="1" applyFont="1" applyFill="1" applyBorder="1" applyAlignment="1">
      <alignment horizontal="center" vertical="center"/>
    </xf>
    <xf numFmtId="176" fontId="19" fillId="0" borderId="1" xfId="1" applyNumberFormat="1" applyFont="1" applyFill="1" applyBorder="1" applyAlignment="1">
      <alignment horizontal="center" vertical="center" wrapText="1"/>
    </xf>
    <xf numFmtId="0" fontId="19" fillId="0" borderId="1" xfId="5" applyNumberFormat="1" applyFont="1" applyFill="1" applyBorder="1" applyAlignment="1">
      <alignment horizontal="center" vertical="center" wrapText="1"/>
    </xf>
    <xf numFmtId="0" fontId="13" fillId="0" borderId="1" xfId="47" applyFont="1" applyFill="1" applyBorder="1" applyAlignment="1">
      <alignment horizontal="center" vertical="center" wrapText="1"/>
    </xf>
    <xf numFmtId="1" fontId="13" fillId="0" borderId="1" xfId="7" applyNumberFormat="1" applyFont="1" applyFill="1" applyBorder="1" applyAlignment="1">
      <alignment vertical="center" wrapText="1"/>
    </xf>
    <xf numFmtId="0" fontId="13" fillId="0" borderId="1" xfId="47" applyFont="1" applyFill="1" applyBorder="1" applyAlignment="1">
      <alignment vertical="center" wrapText="1"/>
    </xf>
    <xf numFmtId="167" fontId="13" fillId="0" borderId="1" xfId="39" applyNumberFormat="1" applyFont="1" applyFill="1" applyBorder="1" applyAlignment="1">
      <alignment vertical="center" wrapText="1"/>
    </xf>
    <xf numFmtId="1" fontId="13" fillId="0" borderId="1" xfId="53" applyNumberFormat="1" applyFont="1" applyFill="1" applyBorder="1" applyAlignment="1">
      <alignment vertical="center" wrapText="1"/>
    </xf>
    <xf numFmtId="0" fontId="13" fillId="0" borderId="1" xfId="54" applyNumberFormat="1" applyFont="1" applyFill="1" applyBorder="1" applyAlignment="1">
      <alignment horizontal="left" vertical="center" wrapText="1"/>
    </xf>
    <xf numFmtId="167" fontId="13" fillId="0" borderId="1" xfId="27" applyNumberFormat="1" applyFont="1" applyFill="1" applyBorder="1" applyAlignment="1">
      <alignment vertical="center" wrapText="1"/>
    </xf>
    <xf numFmtId="167" fontId="13" fillId="0" borderId="1" xfId="56" applyNumberFormat="1" applyFont="1" applyFill="1" applyBorder="1" applyAlignment="1">
      <alignment vertical="center" wrapText="1"/>
    </xf>
    <xf numFmtId="169" fontId="19" fillId="0" borderId="1" xfId="1" applyFont="1" applyFill="1" applyBorder="1" applyAlignment="1">
      <alignment horizontal="left" vertical="center" wrapText="1"/>
    </xf>
    <xf numFmtId="0" fontId="19" fillId="0" borderId="0" xfId="0" applyFont="1" applyFill="1" applyBorder="1"/>
    <xf numFmtId="1" fontId="236" fillId="0" borderId="1" xfId="7" applyNumberFormat="1" applyFont="1" applyFill="1" applyBorder="1" applyAlignment="1">
      <alignment horizontal="center" vertical="center" wrapText="1"/>
    </xf>
    <xf numFmtId="0" fontId="237" fillId="0" borderId="1" xfId="35" applyFont="1" applyFill="1" applyBorder="1" applyAlignment="1">
      <alignment horizontal="left" vertical="center" wrapText="1"/>
    </xf>
    <xf numFmtId="0" fontId="13" fillId="0" borderId="0" xfId="82" applyFont="1" applyFill="1"/>
    <xf numFmtId="176" fontId="13" fillId="0" borderId="1" xfId="1" applyNumberFormat="1" applyFont="1" applyFill="1" applyBorder="1" applyAlignment="1">
      <alignment horizontal="right" vertical="center"/>
    </xf>
    <xf numFmtId="176" fontId="13" fillId="0" borderId="1" xfId="1" applyNumberFormat="1" applyFont="1" applyFill="1" applyBorder="1" applyAlignment="1">
      <alignment horizontal="center" vertical="center"/>
    </xf>
    <xf numFmtId="176" fontId="32" fillId="0" borderId="1" xfId="1" applyNumberFormat="1" applyFont="1" applyFill="1" applyBorder="1" applyAlignment="1">
      <alignment horizontal="center" vertical="center"/>
    </xf>
    <xf numFmtId="176" fontId="19" fillId="0" borderId="1" xfId="1" applyNumberFormat="1" applyFont="1" applyFill="1" applyBorder="1" applyAlignment="1">
      <alignment horizontal="center" vertical="center"/>
    </xf>
    <xf numFmtId="1" fontId="13" fillId="0" borderId="1" xfId="53" applyNumberFormat="1" applyFont="1" applyFill="1" applyBorder="1" applyAlignment="1">
      <alignment horizontal="left" vertical="center" wrapText="1"/>
    </xf>
    <xf numFmtId="0" fontId="19" fillId="0" borderId="0" xfId="0" applyFont="1" applyFill="1" applyBorder="1" applyAlignment="1">
      <alignment vertical="center"/>
    </xf>
    <xf numFmtId="0" fontId="19" fillId="0" borderId="0" xfId="0" applyFont="1" applyFill="1" applyBorder="1" applyAlignment="1">
      <alignment horizontal="left" vertical="center"/>
    </xf>
    <xf numFmtId="183" fontId="19" fillId="0" borderId="0" xfId="0" applyNumberFormat="1" applyFont="1" applyFill="1" applyBorder="1" applyAlignment="1">
      <alignment vertical="center"/>
    </xf>
    <xf numFmtId="49" fontId="19" fillId="0" borderId="0" xfId="0" applyNumberFormat="1" applyFont="1" applyFill="1" applyBorder="1" applyAlignment="1">
      <alignment vertical="center"/>
    </xf>
    <xf numFmtId="0" fontId="13" fillId="0" borderId="0" xfId="0" applyFont="1" applyFill="1" applyBorder="1" applyAlignment="1">
      <alignment vertical="center"/>
    </xf>
    <xf numFmtId="0" fontId="13" fillId="0" borderId="0" xfId="0" applyFont="1" applyFill="1" applyBorder="1" applyAlignment="1">
      <alignment horizontal="left" vertical="center"/>
    </xf>
    <xf numFmtId="183" fontId="13" fillId="0" borderId="0" xfId="0" applyNumberFormat="1" applyFont="1" applyFill="1" applyBorder="1" applyAlignment="1">
      <alignment vertical="center"/>
    </xf>
    <xf numFmtId="49" fontId="13" fillId="0" borderId="0" xfId="0" applyNumberFormat="1" applyFont="1" applyFill="1" applyBorder="1" applyAlignment="1">
      <alignment vertical="center"/>
    </xf>
    <xf numFmtId="176" fontId="13" fillId="0" borderId="0" xfId="0" applyNumberFormat="1" applyFont="1" applyFill="1" applyBorder="1" applyAlignment="1">
      <alignment vertical="center"/>
    </xf>
    <xf numFmtId="0" fontId="13" fillId="0" borderId="0" xfId="0" applyFont="1" applyFill="1" applyBorder="1"/>
    <xf numFmtId="0" fontId="13" fillId="0" borderId="0" xfId="0" applyFont="1" applyFill="1" applyBorder="1" applyAlignment="1">
      <alignment horizontal="left"/>
    </xf>
    <xf numFmtId="183" fontId="13" fillId="0" borderId="0" xfId="0" applyNumberFormat="1" applyFont="1" applyFill="1" applyBorder="1"/>
    <xf numFmtId="49" fontId="13" fillId="0" borderId="0" xfId="0" applyNumberFormat="1" applyFont="1" applyFill="1" applyBorder="1"/>
    <xf numFmtId="1" fontId="19" fillId="0" borderId="1" xfId="7" applyNumberFormat="1" applyFont="1" applyFill="1" applyBorder="1" applyAlignment="1">
      <alignment horizontal="left" vertical="center" wrapText="1"/>
    </xf>
    <xf numFmtId="0" fontId="13" fillId="0" borderId="1" xfId="35" applyFont="1" applyFill="1" applyBorder="1" applyAlignment="1">
      <alignment horizontal="left" vertical="center" wrapText="1"/>
    </xf>
    <xf numFmtId="0" fontId="13" fillId="0" borderId="1" xfId="0" applyFont="1" applyFill="1" applyBorder="1" applyAlignment="1">
      <alignment horizontal="left" vertical="center" wrapText="1"/>
    </xf>
    <xf numFmtId="167" fontId="13" fillId="0" borderId="1" xfId="17" applyNumberFormat="1" applyFont="1" applyFill="1" applyBorder="1" applyAlignment="1">
      <alignment horizontal="left" vertical="center" wrapText="1"/>
    </xf>
    <xf numFmtId="176" fontId="13" fillId="0" borderId="0" xfId="0" applyNumberFormat="1" applyFont="1" applyFill="1" applyBorder="1" applyAlignment="1">
      <alignment horizontal="left"/>
    </xf>
    <xf numFmtId="176" fontId="13" fillId="0" borderId="0" xfId="0" applyNumberFormat="1" applyFont="1" applyFill="1" applyBorder="1"/>
    <xf numFmtId="0" fontId="19" fillId="0" borderId="0" xfId="0" applyFont="1" applyFill="1" applyBorder="1" applyAlignment="1"/>
    <xf numFmtId="0" fontId="35" fillId="0" borderId="0" xfId="4" applyFont="1" applyFill="1" applyAlignment="1">
      <alignment vertical="center"/>
    </xf>
    <xf numFmtId="0" fontId="25" fillId="0" borderId="0" xfId="0" applyFont="1" applyFill="1" applyBorder="1" applyAlignment="1">
      <alignment horizontal="center"/>
    </xf>
    <xf numFmtId="1" fontId="13" fillId="0" borderId="1" xfId="7" applyNumberFormat="1" applyFont="1" applyFill="1" applyBorder="1" applyAlignment="1">
      <alignment horizontal="left" vertical="center" wrapText="1"/>
    </xf>
    <xf numFmtId="0" fontId="13" fillId="0" borderId="1" xfId="2" applyNumberFormat="1" applyFont="1" applyFill="1" applyBorder="1" applyAlignment="1">
      <alignment horizontal="left" vertical="center" wrapText="1"/>
    </xf>
    <xf numFmtId="1" fontId="13" fillId="0" borderId="1" xfId="18" applyNumberFormat="1" applyFont="1" applyFill="1" applyBorder="1" applyAlignment="1">
      <alignment horizontal="left" vertical="center" wrapText="1"/>
    </xf>
    <xf numFmtId="9" fontId="13" fillId="0" borderId="0" xfId="81" applyFont="1" applyFill="1" applyBorder="1"/>
    <xf numFmtId="3" fontId="22" fillId="0" borderId="1" xfId="7" applyNumberFormat="1" applyFont="1" applyFill="1" applyBorder="1" applyAlignment="1">
      <alignment horizontal="left" vertical="center" wrapText="1"/>
    </xf>
    <xf numFmtId="0" fontId="13" fillId="0" borderId="0" xfId="47" applyFont="1" applyFill="1" applyAlignment="1">
      <alignment vertical="center"/>
    </xf>
    <xf numFmtId="0" fontId="19" fillId="0" borderId="0" xfId="47" applyFont="1" applyFill="1" applyAlignment="1">
      <alignment vertical="center"/>
    </xf>
    <xf numFmtId="0" fontId="13" fillId="0" borderId="0" xfId="47" applyFont="1" applyFill="1" applyBorder="1" applyAlignment="1">
      <alignment vertical="center"/>
    </xf>
    <xf numFmtId="0" fontId="13" fillId="0" borderId="0" xfId="47" applyFont="1" applyFill="1" applyBorder="1" applyAlignment="1">
      <alignment horizontal="right" vertical="center"/>
    </xf>
    <xf numFmtId="0" fontId="13" fillId="0" borderId="0" xfId="47" applyFont="1" applyFill="1" applyAlignment="1">
      <alignment horizontal="center" vertical="center"/>
    </xf>
    <xf numFmtId="0" fontId="13" fillId="0" borderId="0" xfId="47" applyFont="1" applyFill="1" applyAlignment="1">
      <alignment horizontal="right" vertical="center"/>
    </xf>
    <xf numFmtId="0" fontId="13" fillId="0" borderId="0" xfId="0" applyFont="1" applyFill="1" applyBorder="1" applyAlignment="1">
      <alignment horizontal="center"/>
    </xf>
    <xf numFmtId="176" fontId="13" fillId="0" borderId="0" xfId="1" applyNumberFormat="1" applyFont="1" applyFill="1" applyBorder="1" applyAlignment="1">
      <alignment horizontal="left"/>
    </xf>
    <xf numFmtId="1" fontId="19" fillId="0" borderId="0" xfId="7" applyNumberFormat="1" applyFont="1" applyFill="1" applyBorder="1" applyAlignment="1">
      <alignment vertical="center"/>
    </xf>
    <xf numFmtId="0" fontId="19" fillId="0" borderId="1" xfId="0" applyFont="1" applyFill="1" applyBorder="1" applyAlignment="1">
      <alignment horizontal="left"/>
    </xf>
    <xf numFmtId="1" fontId="19" fillId="0" borderId="0" xfId="5" applyNumberFormat="1" applyFont="1" applyFill="1" applyBorder="1" applyAlignment="1">
      <alignment vertical="center"/>
    </xf>
    <xf numFmtId="0" fontId="13" fillId="0" borderId="0" xfId="0" applyNumberFormat="1" applyFont="1" applyFill="1" applyBorder="1" applyAlignment="1">
      <alignment horizontal="center" vertical="center" wrapText="1"/>
    </xf>
    <xf numFmtId="0" fontId="19" fillId="0" borderId="0"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176" fontId="13" fillId="0" borderId="0" xfId="1" applyNumberFormat="1" applyFont="1" applyFill="1" applyBorder="1"/>
    <xf numFmtId="0" fontId="19" fillId="0" borderId="0" xfId="0" applyFont="1" applyFill="1" applyBorder="1" applyAlignment="1">
      <alignment horizontal="left"/>
    </xf>
    <xf numFmtId="0" fontId="19" fillId="0" borderId="0" xfId="0" applyFont="1" applyFill="1" applyBorder="1" applyAlignment="1">
      <alignment horizontal="center"/>
    </xf>
    <xf numFmtId="183" fontId="19" fillId="0" borderId="0" xfId="0" applyNumberFormat="1" applyFont="1" applyFill="1" applyBorder="1"/>
    <xf numFmtId="49" fontId="19" fillId="0" borderId="0" xfId="0" applyNumberFormat="1" applyFont="1" applyFill="1" applyBorder="1"/>
    <xf numFmtId="176" fontId="19" fillId="0" borderId="0" xfId="1" applyNumberFormat="1" applyFont="1" applyFill="1" applyBorder="1" applyAlignment="1">
      <alignment horizontal="left"/>
    </xf>
    <xf numFmtId="0" fontId="32" fillId="0" borderId="0" xfId="0" applyFont="1" applyFill="1" applyBorder="1"/>
    <xf numFmtId="0" fontId="32" fillId="0" borderId="0" xfId="0" applyFont="1" applyFill="1" applyBorder="1" applyAlignment="1">
      <alignment horizontal="left"/>
    </xf>
    <xf numFmtId="0" fontId="32" fillId="0" borderId="0" xfId="0" applyFont="1" applyFill="1" applyBorder="1" applyAlignment="1">
      <alignment horizontal="center"/>
    </xf>
    <xf numFmtId="183" fontId="32" fillId="0" borderId="0" xfId="0" applyNumberFormat="1" applyFont="1" applyFill="1" applyBorder="1"/>
    <xf numFmtId="49" fontId="32" fillId="0" borderId="0" xfId="0" applyNumberFormat="1" applyFont="1" applyFill="1" applyBorder="1"/>
    <xf numFmtId="176" fontId="32" fillId="0" borderId="0" xfId="1" applyNumberFormat="1" applyFont="1" applyFill="1" applyBorder="1" applyAlignment="1">
      <alignment horizontal="left"/>
    </xf>
    <xf numFmtId="0" fontId="32" fillId="0" borderId="0" xfId="0" applyFont="1" applyFill="1" applyBorder="1" applyAlignment="1">
      <alignment horizontal="right"/>
    </xf>
    <xf numFmtId="183" fontId="13" fillId="0" borderId="0" xfId="0" applyNumberFormat="1" applyFont="1" applyFill="1" applyBorder="1" applyAlignment="1">
      <alignment horizontal="center"/>
    </xf>
    <xf numFmtId="49" fontId="13" fillId="0" borderId="0" xfId="0" applyNumberFormat="1" applyFont="1" applyFill="1" applyBorder="1" applyAlignment="1">
      <alignment horizontal="center"/>
    </xf>
    <xf numFmtId="183" fontId="32" fillId="0" borderId="0" xfId="0" applyNumberFormat="1" applyFont="1" applyFill="1" applyBorder="1" applyAlignment="1">
      <alignment horizontal="center"/>
    </xf>
    <xf numFmtId="49" fontId="32" fillId="0" borderId="0" xfId="0" applyNumberFormat="1" applyFont="1" applyFill="1" applyBorder="1" applyAlignment="1">
      <alignment horizontal="center"/>
    </xf>
    <xf numFmtId="1" fontId="19" fillId="0" borderId="1" xfId="7" applyNumberFormat="1" applyFont="1" applyFill="1" applyBorder="1" applyAlignment="1">
      <alignment horizontal="center" vertical="center" wrapText="1"/>
    </xf>
    <xf numFmtId="178" fontId="13" fillId="0" borderId="1" xfId="0" applyNumberFormat="1" applyFont="1" applyFill="1" applyBorder="1" applyAlignment="1">
      <alignment horizontal="left" vertical="center" wrapText="1"/>
    </xf>
    <xf numFmtId="0" fontId="13" fillId="0" borderId="1" xfId="8" applyNumberFormat="1" applyFont="1" applyFill="1" applyBorder="1" applyAlignment="1">
      <alignment horizontal="left" vertical="center" wrapText="1"/>
    </xf>
    <xf numFmtId="1" fontId="13" fillId="0" borderId="1" xfId="9" applyNumberFormat="1" applyFont="1" applyFill="1" applyBorder="1" applyAlignment="1">
      <alignment horizontal="center" vertical="center" wrapText="1"/>
    </xf>
    <xf numFmtId="0" fontId="13" fillId="0" borderId="1" xfId="0" applyFont="1" applyFill="1" applyBorder="1" applyAlignment="1">
      <alignment horizontal="left" wrapText="1"/>
    </xf>
    <xf numFmtId="1" fontId="13" fillId="0" borderId="1" xfId="11" applyNumberFormat="1" applyFont="1" applyFill="1" applyBorder="1" applyAlignment="1">
      <alignment horizontal="left" vertical="center" wrapText="1"/>
    </xf>
    <xf numFmtId="176" fontId="24" fillId="0" borderId="1" xfId="1" applyNumberFormat="1" applyFont="1" applyFill="1" applyBorder="1" applyAlignment="1">
      <alignment horizontal="center" vertical="center" wrapText="1"/>
    </xf>
    <xf numFmtId="0" fontId="13" fillId="0" borderId="1" xfId="13" applyNumberFormat="1" applyFont="1" applyFill="1" applyBorder="1" applyAlignment="1">
      <alignment horizontal="left" vertical="center" wrapText="1"/>
    </xf>
    <xf numFmtId="1" fontId="13" fillId="0" borderId="1" xfId="12" applyNumberFormat="1" applyFont="1" applyFill="1" applyBorder="1" applyAlignment="1">
      <alignment horizontal="left" vertical="center" wrapText="1"/>
    </xf>
    <xf numFmtId="0" fontId="13" fillId="0" borderId="0" xfId="47" applyFont="1" applyFill="1" applyBorder="1" applyAlignment="1">
      <alignment horizontal="center" vertical="center" wrapText="1"/>
    </xf>
    <xf numFmtId="0" fontId="19" fillId="0" borderId="0" xfId="47" applyFont="1" applyFill="1" applyAlignment="1">
      <alignment horizontal="center" vertical="center"/>
    </xf>
    <xf numFmtId="0" fontId="19" fillId="0" borderId="0" xfId="47" applyFont="1" applyFill="1" applyAlignment="1">
      <alignment horizontal="right" vertical="center"/>
    </xf>
    <xf numFmtId="0" fontId="19" fillId="0" borderId="0" xfId="47" applyFont="1" applyFill="1" applyBorder="1" applyAlignment="1">
      <alignment vertical="center"/>
    </xf>
    <xf numFmtId="0" fontId="19" fillId="0" borderId="1" xfId="0" applyFont="1" applyFill="1" applyBorder="1" applyAlignment="1">
      <alignment horizontal="center"/>
    </xf>
    <xf numFmtId="176" fontId="19" fillId="0" borderId="1" xfId="1" applyNumberFormat="1" applyFont="1" applyFill="1" applyBorder="1" applyAlignment="1">
      <alignment vertical="center"/>
    </xf>
    <xf numFmtId="176" fontId="19" fillId="0" borderId="0" xfId="2" applyNumberFormat="1" applyFont="1" applyFill="1" applyBorder="1" applyAlignment="1">
      <alignment horizontal="center" vertical="center" wrapText="1"/>
    </xf>
    <xf numFmtId="0" fontId="19" fillId="0" borderId="0" xfId="82" applyFont="1" applyFill="1" applyAlignment="1"/>
    <xf numFmtId="0" fontId="19" fillId="0" borderId="0" xfId="82" applyFont="1" applyFill="1" applyAlignment="1">
      <alignment vertical="center"/>
    </xf>
    <xf numFmtId="0" fontId="13" fillId="0" borderId="0" xfId="82" applyFont="1" applyFill="1" applyAlignment="1">
      <alignment vertical="center"/>
    </xf>
    <xf numFmtId="0" fontId="32" fillId="0" borderId="0" xfId="82" applyFont="1" applyFill="1" applyAlignment="1">
      <alignment vertical="center"/>
    </xf>
    <xf numFmtId="3" fontId="13" fillId="0" borderId="1" xfId="80" applyNumberFormat="1" applyFont="1" applyFill="1" applyBorder="1" applyAlignment="1">
      <alignment horizontal="left" vertical="center" wrapText="1"/>
    </xf>
    <xf numFmtId="169" fontId="13" fillId="0" borderId="1" xfId="20" applyFont="1" applyFill="1" applyBorder="1" applyAlignment="1">
      <alignment horizontal="left" vertical="center" wrapText="1"/>
    </xf>
    <xf numFmtId="167" fontId="13" fillId="0" borderId="1" xfId="24" applyNumberFormat="1" applyFont="1" applyFill="1" applyBorder="1" applyAlignment="1">
      <alignment horizontal="left" vertical="center" wrapText="1"/>
    </xf>
    <xf numFmtId="174" fontId="13" fillId="0" borderId="1" xfId="3" applyNumberFormat="1" applyFont="1" applyFill="1" applyBorder="1" applyAlignment="1">
      <alignment horizontal="left" vertical="center" wrapText="1"/>
    </xf>
    <xf numFmtId="49" fontId="13" fillId="0" borderId="1" xfId="2" applyNumberFormat="1" applyFont="1" applyFill="1" applyBorder="1" applyAlignment="1">
      <alignment horizontal="left" vertical="center" wrapText="1"/>
    </xf>
    <xf numFmtId="176" fontId="34" fillId="0" borderId="1" xfId="1" applyNumberFormat="1" applyFont="1" applyFill="1" applyBorder="1" applyAlignment="1">
      <alignment horizontal="right" vertical="center"/>
    </xf>
    <xf numFmtId="0" fontId="28" fillId="0" borderId="1" xfId="4302" applyFont="1" applyBorder="1" applyAlignment="1">
      <alignment horizontal="center" vertical="center" wrapText="1"/>
    </xf>
    <xf numFmtId="0" fontId="28" fillId="0" borderId="1" xfId="4302" applyFont="1" applyBorder="1" applyAlignment="1">
      <alignment vertical="center" wrapText="1"/>
    </xf>
    <xf numFmtId="0" fontId="28" fillId="0" borderId="1" xfId="4302" applyFont="1" applyBorder="1" applyAlignment="1">
      <alignment horizontal="left" vertical="center" wrapText="1" indent="2"/>
    </xf>
    <xf numFmtId="176" fontId="28" fillId="0" borderId="1" xfId="1" applyNumberFormat="1" applyFont="1" applyBorder="1" applyAlignment="1">
      <alignment horizontal="center" vertical="center" wrapText="1"/>
    </xf>
    <xf numFmtId="176" fontId="36" fillId="0" borderId="1" xfId="1" applyNumberFormat="1" applyFont="1" applyBorder="1" applyAlignment="1">
      <alignment horizontal="center" vertical="center" wrapText="1"/>
    </xf>
    <xf numFmtId="176" fontId="27" fillId="0" borderId="1" xfId="1" applyNumberFormat="1" applyFont="1" applyBorder="1" applyAlignment="1">
      <alignment horizontal="center" vertical="center" wrapText="1"/>
    </xf>
    <xf numFmtId="176" fontId="238" fillId="0" borderId="1" xfId="1" applyNumberFormat="1" applyFont="1" applyBorder="1" applyAlignment="1">
      <alignment horizontal="center" vertical="center" wrapText="1"/>
    </xf>
    <xf numFmtId="0" fontId="28" fillId="0" borderId="0" xfId="4302" applyFont="1"/>
    <xf numFmtId="0" fontId="27" fillId="0" borderId="0" xfId="4302" applyFont="1" applyAlignment="1">
      <alignment vertical="center"/>
    </xf>
    <xf numFmtId="0" fontId="13" fillId="2" borderId="0" xfId="0" applyFont="1" applyFill="1" applyBorder="1"/>
    <xf numFmtId="0" fontId="32" fillId="2" borderId="0" xfId="0" applyFont="1" applyFill="1" applyBorder="1"/>
    <xf numFmtId="176" fontId="13" fillId="2" borderId="0" xfId="0" applyNumberFormat="1" applyFont="1" applyFill="1" applyBorder="1"/>
    <xf numFmtId="176" fontId="12" fillId="2" borderId="1" xfId="4304" applyNumberFormat="1" applyFont="1" applyFill="1" applyBorder="1" applyAlignment="1">
      <alignment horizontal="center" vertical="center" wrapText="1"/>
    </xf>
    <xf numFmtId="3" fontId="24" fillId="0" borderId="1" xfId="0" applyNumberFormat="1" applyFont="1" applyFill="1" applyBorder="1" applyAlignment="1">
      <alignment horizontal="center" vertical="center" wrapText="1"/>
    </xf>
    <xf numFmtId="1" fontId="242" fillId="2" borderId="1" xfId="80" applyNumberFormat="1"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1" fontId="22" fillId="0" borderId="1" xfId="7" applyNumberFormat="1" applyFont="1" applyFill="1" applyBorder="1" applyAlignment="1">
      <alignment horizontal="center" vertical="center" wrapText="1"/>
    </xf>
    <xf numFmtId="0" fontId="19" fillId="0" borderId="1" xfId="2" applyNumberFormat="1" applyFont="1" applyFill="1" applyBorder="1" applyAlignment="1">
      <alignment horizontal="center" vertical="center" wrapText="1"/>
    </xf>
    <xf numFmtId="0" fontId="19" fillId="0" borderId="1" xfId="2" applyNumberFormat="1" applyFont="1" applyFill="1" applyBorder="1" applyAlignment="1">
      <alignment horizontal="left" vertical="center" wrapText="1"/>
    </xf>
    <xf numFmtId="0" fontId="104" fillId="0" borderId="0" xfId="0" applyFont="1" applyFill="1" applyBorder="1" applyAlignment="1">
      <alignment horizontal="center"/>
    </xf>
    <xf numFmtId="0" fontId="243" fillId="0" borderId="0" xfId="0" applyFont="1" applyFill="1" applyBorder="1"/>
    <xf numFmtId="0" fontId="244" fillId="0" borderId="0" xfId="0" applyFont="1" applyFill="1" applyBorder="1" applyAlignment="1">
      <alignment horizontal="center"/>
    </xf>
    <xf numFmtId="0" fontId="245" fillId="0" borderId="0" xfId="0" applyFont="1" applyFill="1" applyBorder="1"/>
    <xf numFmtId="0" fontId="245" fillId="0" borderId="0" xfId="0" applyFont="1" applyFill="1" applyBorder="1" applyAlignment="1">
      <alignment horizontal="left"/>
    </xf>
    <xf numFmtId="0" fontId="245" fillId="0" borderId="0" xfId="0" applyFont="1" applyFill="1" applyBorder="1" applyAlignment="1">
      <alignment horizontal="center"/>
    </xf>
    <xf numFmtId="183" fontId="245" fillId="0" borderId="0" xfId="0" applyNumberFormat="1" applyFont="1" applyFill="1" applyBorder="1"/>
    <xf numFmtId="49" fontId="245" fillId="0" borderId="0" xfId="0" applyNumberFormat="1" applyFont="1" applyFill="1" applyBorder="1"/>
    <xf numFmtId="0" fontId="12" fillId="0" borderId="0" xfId="0" applyFont="1" applyFill="1" applyBorder="1" applyAlignment="1">
      <alignment horizontal="center"/>
    </xf>
    <xf numFmtId="176" fontId="245" fillId="0" borderId="0" xfId="0" applyNumberFormat="1" applyFont="1" applyFill="1" applyBorder="1"/>
    <xf numFmtId="176" fontId="12" fillId="0" borderId="0" xfId="0" applyNumberFormat="1" applyFont="1" applyFill="1" applyBorder="1" applyAlignment="1">
      <alignment horizontal="center"/>
    </xf>
    <xf numFmtId="176" fontId="247" fillId="0" borderId="0" xfId="3" applyNumberFormat="1" applyFont="1" applyFill="1" applyBorder="1" applyAlignment="1">
      <alignment horizontal="center" vertical="center" wrapText="1"/>
    </xf>
    <xf numFmtId="0" fontId="240" fillId="0" borderId="0" xfId="2" applyNumberFormat="1" applyFont="1" applyFill="1" applyBorder="1" applyAlignment="1">
      <alignment horizontal="center" vertical="center" wrapText="1"/>
    </xf>
    <xf numFmtId="176" fontId="21" fillId="0" borderId="0" xfId="3" applyNumberFormat="1" applyFont="1" applyFill="1" applyBorder="1" applyAlignment="1">
      <alignment horizontal="center" vertical="center"/>
    </xf>
    <xf numFmtId="0" fontId="21" fillId="0" borderId="1" xfId="2" applyNumberFormat="1" applyFont="1" applyFill="1" applyBorder="1" applyAlignment="1">
      <alignment horizontal="center" vertical="center" wrapText="1"/>
    </xf>
    <xf numFmtId="0" fontId="21" fillId="0" borderId="0" xfId="2" applyNumberFormat="1" applyFont="1" applyFill="1" applyBorder="1" applyAlignment="1">
      <alignment horizontal="center" vertical="center" wrapText="1"/>
    </xf>
    <xf numFmtId="0" fontId="12" fillId="0" borderId="1" xfId="2" applyNumberFormat="1" applyFont="1" applyFill="1" applyBorder="1" applyAlignment="1">
      <alignment horizontal="center" vertical="center" wrapText="1"/>
    </xf>
    <xf numFmtId="0" fontId="26" fillId="0" borderId="1" xfId="2" applyNumberFormat="1" applyFont="1" applyFill="1" applyBorder="1" applyAlignment="1">
      <alignment horizontal="center" vertical="center" wrapText="1"/>
    </xf>
    <xf numFmtId="0" fontId="26" fillId="0" borderId="1" xfId="2" applyNumberFormat="1" applyFont="1" applyFill="1" applyBorder="1" applyAlignment="1">
      <alignment horizontal="left" vertical="center" wrapText="1"/>
    </xf>
    <xf numFmtId="0" fontId="26" fillId="0" borderId="4" xfId="2" applyNumberFormat="1" applyFont="1" applyFill="1" applyBorder="1" applyAlignment="1">
      <alignment horizontal="center" vertical="center" wrapText="1"/>
    </xf>
    <xf numFmtId="183" fontId="26" fillId="0" borderId="1" xfId="2" applyNumberFormat="1" applyFont="1" applyFill="1" applyBorder="1" applyAlignment="1">
      <alignment horizontal="center" vertical="center" wrapText="1"/>
    </xf>
    <xf numFmtId="49" fontId="26" fillId="0" borderId="1" xfId="2" applyNumberFormat="1" applyFont="1" applyFill="1" applyBorder="1" applyAlignment="1">
      <alignment horizontal="center" vertical="center" wrapText="1"/>
    </xf>
    <xf numFmtId="0" fontId="240" fillId="0" borderId="1" xfId="2" applyNumberFormat="1" applyFont="1" applyFill="1" applyBorder="1" applyAlignment="1">
      <alignment horizontal="center" vertical="center" wrapText="1"/>
    </xf>
    <xf numFmtId="176" fontId="26" fillId="0" borderId="1" xfId="1" applyNumberFormat="1" applyFont="1" applyFill="1" applyBorder="1" applyAlignment="1">
      <alignment vertical="center"/>
    </xf>
    <xf numFmtId="176" fontId="19" fillId="0" borderId="0" xfId="1" applyNumberFormat="1" applyFont="1" applyFill="1" applyBorder="1" applyAlignment="1">
      <alignment horizontal="center" vertical="center"/>
    </xf>
    <xf numFmtId="0" fontId="22" fillId="0" borderId="1" xfId="5" applyNumberFormat="1" applyFont="1" applyFill="1" applyBorder="1" applyAlignment="1">
      <alignment horizontal="center" vertical="center"/>
    </xf>
    <xf numFmtId="1" fontId="22" fillId="0" borderId="1" xfId="7" applyNumberFormat="1" applyFont="1" applyFill="1" applyBorder="1" applyAlignment="1">
      <alignment horizontal="left" vertical="center" wrapText="1"/>
    </xf>
    <xf numFmtId="0" fontId="22" fillId="0" borderId="1" xfId="5" applyNumberFormat="1" applyFont="1" applyFill="1" applyBorder="1" applyAlignment="1">
      <alignment horizontal="center" vertical="center" wrapText="1"/>
    </xf>
    <xf numFmtId="3" fontId="12" fillId="0" borderId="1" xfId="35" applyNumberFormat="1" applyFont="1" applyFill="1" applyBorder="1" applyAlignment="1">
      <alignment horizontal="center" vertical="center" wrapText="1"/>
    </xf>
    <xf numFmtId="176" fontId="22" fillId="0" borderId="1" xfId="1" applyNumberFormat="1" applyFont="1" applyFill="1" applyBorder="1" applyAlignment="1">
      <alignment horizontal="center" vertical="center" wrapText="1"/>
    </xf>
    <xf numFmtId="176" fontId="13" fillId="0" borderId="0" xfId="1" applyNumberFormat="1" applyFont="1" applyFill="1" applyBorder="1" applyAlignment="1">
      <alignment horizontal="center" vertical="center" wrapText="1"/>
    </xf>
    <xf numFmtId="3" fontId="12" fillId="0" borderId="1" xfId="33" applyNumberFormat="1" applyFont="1" applyFill="1" applyBorder="1" applyAlignment="1">
      <alignment horizontal="center" vertical="center" wrapText="1"/>
    </xf>
    <xf numFmtId="0" fontId="24" fillId="0" borderId="1" xfId="5" applyNumberFormat="1" applyFont="1" applyFill="1" applyBorder="1" applyAlignment="1">
      <alignment horizontal="center" vertical="center"/>
    </xf>
    <xf numFmtId="1" fontId="24" fillId="0" borderId="1" xfId="5" applyNumberFormat="1" applyFont="1" applyFill="1" applyBorder="1" applyAlignment="1">
      <alignment horizontal="left" vertical="center" wrapText="1"/>
    </xf>
    <xf numFmtId="0" fontId="24" fillId="0" borderId="1" xfId="2" applyNumberFormat="1" applyFont="1" applyFill="1" applyBorder="1" applyAlignment="1">
      <alignment horizontal="center" vertical="center" wrapText="1"/>
    </xf>
    <xf numFmtId="0" fontId="24" fillId="0" borderId="1" xfId="5" applyNumberFormat="1" applyFont="1" applyFill="1" applyBorder="1" applyAlignment="1">
      <alignment horizontal="center" vertical="center" wrapText="1"/>
    </xf>
    <xf numFmtId="1" fontId="248" fillId="0" borderId="1" xfId="5" quotePrefix="1" applyNumberFormat="1" applyFont="1" applyFill="1" applyBorder="1" applyAlignment="1">
      <alignment horizontal="center" vertical="center" wrapText="1"/>
    </xf>
    <xf numFmtId="176" fontId="24" fillId="0" borderId="1" xfId="1" applyNumberFormat="1" applyFont="1" applyFill="1" applyBorder="1" applyAlignment="1">
      <alignment vertical="center"/>
    </xf>
    <xf numFmtId="176" fontId="24" fillId="0" borderId="1" xfId="1" applyNumberFormat="1" applyFont="1" applyFill="1" applyBorder="1" applyAlignment="1">
      <alignment horizontal="center" vertical="center"/>
    </xf>
    <xf numFmtId="176" fontId="24" fillId="0" borderId="0" xfId="1" applyNumberFormat="1" applyFont="1" applyFill="1" applyBorder="1" applyAlignment="1">
      <alignment horizontal="center" vertical="center"/>
    </xf>
    <xf numFmtId="1" fontId="24" fillId="0" borderId="0" xfId="7" applyNumberFormat="1" applyFont="1" applyFill="1" applyBorder="1" applyAlignment="1">
      <alignment vertical="center"/>
    </xf>
    <xf numFmtId="0" fontId="22" fillId="0" borderId="1" xfId="0" applyFont="1" applyFill="1" applyBorder="1" applyAlignment="1">
      <alignment horizontal="left" vertical="center" wrapText="1"/>
    </xf>
    <xf numFmtId="1" fontId="12" fillId="0" borderId="1" xfId="7" applyNumberFormat="1" applyFont="1" applyFill="1" applyBorder="1" applyAlignment="1">
      <alignment horizontal="center" vertical="center" wrapText="1"/>
    </xf>
    <xf numFmtId="3" fontId="22" fillId="0" borderId="1" xfId="1" applyNumberFormat="1" applyFont="1" applyFill="1" applyBorder="1" applyAlignment="1">
      <alignment horizontal="right" vertical="center" wrapText="1"/>
    </xf>
    <xf numFmtId="0" fontId="13" fillId="0" borderId="0" xfId="0" applyFont="1" applyFill="1" applyBorder="1" applyAlignment="1">
      <alignment horizontal="center" vertical="top" wrapText="1"/>
    </xf>
    <xf numFmtId="14" fontId="13" fillId="0" borderId="0" xfId="0" applyNumberFormat="1" applyFont="1" applyFill="1" applyBorder="1" applyAlignment="1">
      <alignment horizontal="center" vertical="top" wrapText="1"/>
    </xf>
    <xf numFmtId="3" fontId="13" fillId="0" borderId="0" xfId="1" applyNumberFormat="1" applyFont="1" applyFill="1" applyBorder="1" applyAlignment="1">
      <alignment horizontal="right" vertical="top" wrapText="1"/>
    </xf>
    <xf numFmtId="3" fontId="13" fillId="0" borderId="0" xfId="1" applyNumberFormat="1" applyFont="1" applyFill="1" applyBorder="1" applyAlignment="1">
      <alignment horizontal="right" vertical="center" wrapText="1"/>
    </xf>
    <xf numFmtId="0" fontId="19" fillId="0" borderId="0" xfId="0" applyNumberFormat="1" applyFont="1" applyFill="1" applyBorder="1" applyAlignment="1">
      <alignment horizontal="left" vertical="center" wrapText="1"/>
    </xf>
    <xf numFmtId="0" fontId="13" fillId="0" borderId="0" xfId="0" quotePrefix="1" applyNumberFormat="1" applyFont="1" applyFill="1" applyBorder="1" applyAlignment="1">
      <alignment horizontal="center" vertical="top" wrapText="1"/>
    </xf>
    <xf numFmtId="0" fontId="13" fillId="0" borderId="0" xfId="0" applyFont="1" applyFill="1" applyBorder="1" applyAlignment="1">
      <alignment vertical="top" wrapText="1"/>
    </xf>
    <xf numFmtId="49" fontId="13" fillId="0" borderId="0" xfId="0" applyNumberFormat="1" applyFont="1" applyFill="1" applyBorder="1" applyAlignment="1">
      <alignment horizontal="center" vertical="top" wrapText="1"/>
    </xf>
    <xf numFmtId="169" fontId="22" fillId="0" borderId="1" xfId="1" applyFont="1" applyFill="1" applyBorder="1" applyAlignment="1">
      <alignment horizontal="left" vertical="center" wrapText="1"/>
    </xf>
    <xf numFmtId="172" fontId="22" fillId="0" borderId="1" xfId="0" applyNumberFormat="1" applyFont="1" applyFill="1" applyBorder="1" applyAlignment="1">
      <alignment horizontal="right" vertical="center" wrapText="1"/>
    </xf>
    <xf numFmtId="3" fontId="22" fillId="0" borderId="1" xfId="0" applyNumberFormat="1" applyFont="1" applyFill="1" applyBorder="1" applyAlignment="1">
      <alignment horizontal="right" vertical="center" wrapText="1"/>
    </xf>
    <xf numFmtId="3" fontId="13" fillId="0" borderId="0" xfId="0" applyNumberFormat="1" applyFont="1" applyFill="1" applyBorder="1" applyAlignment="1">
      <alignment horizontal="center" vertical="center" wrapText="1"/>
    </xf>
    <xf numFmtId="49" fontId="24" fillId="0" borderId="1" xfId="0" applyNumberFormat="1" applyFont="1" applyFill="1" applyBorder="1" applyAlignment="1">
      <alignment horizontal="left" vertical="center" wrapText="1"/>
    </xf>
    <xf numFmtId="169" fontId="248" fillId="0" borderId="1" xfId="1" applyFont="1" applyFill="1" applyBorder="1" applyAlignment="1">
      <alignment horizontal="center" vertical="center" wrapText="1"/>
    </xf>
    <xf numFmtId="176" fontId="24" fillId="0" borderId="0" xfId="1" applyNumberFormat="1" applyFont="1" applyFill="1" applyBorder="1" applyAlignment="1">
      <alignment horizontal="center" vertical="center" wrapText="1"/>
    </xf>
    <xf numFmtId="0" fontId="24" fillId="0" borderId="0" xfId="0" applyNumberFormat="1" applyFont="1" applyFill="1" applyBorder="1" applyAlignment="1">
      <alignment horizontal="center" vertical="center" wrapText="1"/>
    </xf>
    <xf numFmtId="169" fontId="12" fillId="0" borderId="1" xfId="1" applyFont="1" applyFill="1" applyBorder="1" applyAlignment="1">
      <alignment horizontal="center" vertical="center" wrapText="1"/>
    </xf>
    <xf numFmtId="176" fontId="13" fillId="0" borderId="1" xfId="1" applyNumberFormat="1" applyFont="1" applyFill="1" applyBorder="1" applyAlignment="1">
      <alignment vertical="center"/>
    </xf>
    <xf numFmtId="176" fontId="24" fillId="0" borderId="1" xfId="1" applyNumberFormat="1" applyFont="1" applyFill="1" applyBorder="1" applyAlignment="1">
      <alignment horizontal="right" vertical="center"/>
    </xf>
    <xf numFmtId="176" fontId="13" fillId="0" borderId="0"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240" fillId="0" borderId="1" xfId="0" quotePrefix="1" applyNumberFormat="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3" fontId="19" fillId="0" borderId="0" xfId="0" applyNumberFormat="1" applyFont="1" applyFill="1" applyBorder="1" applyAlignment="1">
      <alignment horizontal="center" vertical="center" wrapText="1"/>
    </xf>
    <xf numFmtId="176" fontId="19" fillId="0" borderId="0" xfId="0" applyNumberFormat="1" applyFont="1" applyFill="1" applyBorder="1" applyAlignment="1">
      <alignment horizontal="center" vertical="center" wrapText="1"/>
    </xf>
    <xf numFmtId="169" fontId="24" fillId="0" borderId="1" xfId="1" applyFont="1" applyFill="1" applyBorder="1" applyAlignment="1">
      <alignment horizontal="left" vertical="center" wrapText="1"/>
    </xf>
    <xf numFmtId="0" fontId="24" fillId="0" borderId="1" xfId="0" applyFont="1" applyFill="1" applyBorder="1" applyAlignment="1">
      <alignment horizontal="center" vertical="center" wrapText="1"/>
    </xf>
    <xf numFmtId="0" fontId="248" fillId="0" borderId="1" xfId="0" quotePrefix="1" applyNumberFormat="1" applyFont="1" applyFill="1" applyBorder="1" applyAlignment="1">
      <alignment horizontal="center" vertical="center" wrapText="1"/>
    </xf>
    <xf numFmtId="176" fontId="24" fillId="0" borderId="1" xfId="2" applyNumberFormat="1" applyFont="1" applyFill="1" applyBorder="1" applyAlignment="1">
      <alignment horizontal="center" vertical="center" wrapText="1"/>
    </xf>
    <xf numFmtId="3" fontId="24" fillId="0" borderId="0" xfId="0" applyNumberFormat="1" applyFont="1" applyFill="1" applyBorder="1" applyAlignment="1">
      <alignment horizontal="center" vertical="center" wrapText="1"/>
    </xf>
    <xf numFmtId="176" fontId="24" fillId="0" borderId="0" xfId="0" applyNumberFormat="1" applyFont="1" applyFill="1" applyBorder="1" applyAlignment="1">
      <alignment horizontal="center" vertical="center" wrapText="1"/>
    </xf>
    <xf numFmtId="1" fontId="13" fillId="0" borderId="1" xfId="7" applyNumberFormat="1" applyFont="1" applyFill="1" applyBorder="1" applyAlignment="1">
      <alignment horizontal="center" vertical="center" wrapText="1"/>
    </xf>
    <xf numFmtId="178" fontId="12" fillId="0" borderId="1" xfId="0" quotePrefix="1" applyNumberFormat="1" applyFont="1" applyFill="1" applyBorder="1" applyAlignment="1">
      <alignment horizontal="center" vertical="center" wrapText="1"/>
    </xf>
    <xf numFmtId="176" fontId="13" fillId="0" borderId="1" xfId="1" applyNumberFormat="1" applyFont="1" applyFill="1" applyBorder="1" applyAlignment="1">
      <alignment horizontal="right" vertical="center" wrapText="1"/>
    </xf>
    <xf numFmtId="176" fontId="13" fillId="0" borderId="0" xfId="1" applyNumberFormat="1" applyFont="1" applyFill="1" applyBorder="1" applyAlignment="1">
      <alignment horizontal="center" vertical="center"/>
    </xf>
    <xf numFmtId="0" fontId="19" fillId="0" borderId="0" xfId="0" applyNumberFormat="1" applyFont="1" applyFill="1" applyAlignment="1">
      <alignment horizontal="center" vertical="center" wrapText="1"/>
    </xf>
    <xf numFmtId="1" fontId="32" fillId="0" borderId="0" xfId="7" applyNumberFormat="1" applyFont="1" applyFill="1" applyAlignment="1">
      <alignment vertical="center"/>
    </xf>
    <xf numFmtId="1" fontId="12" fillId="0" borderId="1" xfId="7" quotePrefix="1" applyNumberFormat="1" applyFont="1" applyFill="1" applyBorder="1" applyAlignment="1">
      <alignment horizontal="center" vertical="center" wrapText="1"/>
    </xf>
    <xf numFmtId="0" fontId="13" fillId="0" borderId="0" xfId="0" applyNumberFormat="1" applyFont="1" applyFill="1" applyAlignment="1">
      <alignment horizontal="center" vertical="center" wrapText="1"/>
    </xf>
    <xf numFmtId="0" fontId="12" fillId="0" borderId="0" xfId="0" applyNumberFormat="1" applyFont="1" applyFill="1" applyAlignment="1">
      <alignment horizontal="center" vertical="center" wrapText="1"/>
    </xf>
    <xf numFmtId="176" fontId="19" fillId="0" borderId="0" xfId="0" applyNumberFormat="1" applyFont="1" applyFill="1" applyAlignment="1">
      <alignment horizontal="center" vertical="center" wrapText="1"/>
    </xf>
    <xf numFmtId="0" fontId="13" fillId="0" borderId="1" xfId="2" applyFont="1" applyFill="1" applyBorder="1" applyAlignment="1">
      <alignment horizontal="center" vertical="center" wrapText="1"/>
    </xf>
    <xf numFmtId="169" fontId="13" fillId="0" borderId="1" xfId="1" applyFont="1" applyFill="1" applyBorder="1" applyAlignment="1">
      <alignment horizontal="center" vertical="center" wrapText="1"/>
    </xf>
    <xf numFmtId="176" fontId="13" fillId="0" borderId="0" xfId="0" applyNumberFormat="1" applyFont="1" applyFill="1" applyAlignment="1">
      <alignment horizontal="center" vertical="center" wrapText="1"/>
    </xf>
    <xf numFmtId="178" fontId="13" fillId="0" borderId="1" xfId="0" applyNumberFormat="1" applyFont="1" applyFill="1" applyBorder="1" applyAlignment="1">
      <alignment horizontal="center" vertical="center" wrapText="1"/>
    </xf>
    <xf numFmtId="1" fontId="24" fillId="0" borderId="1" xfId="7" applyNumberFormat="1" applyFont="1" applyFill="1" applyBorder="1" applyAlignment="1">
      <alignment horizontal="left" vertical="center" wrapText="1"/>
    </xf>
    <xf numFmtId="1" fontId="24" fillId="0" borderId="1" xfId="7" applyNumberFormat="1" applyFont="1" applyFill="1" applyBorder="1" applyAlignment="1">
      <alignment horizontal="center" vertical="center" wrapText="1"/>
    </xf>
    <xf numFmtId="1" fontId="248" fillId="0" borderId="1" xfId="7" quotePrefix="1" applyNumberFormat="1" applyFont="1" applyFill="1" applyBorder="1" applyAlignment="1">
      <alignment horizontal="center" vertical="center" wrapText="1"/>
    </xf>
    <xf numFmtId="0" fontId="24" fillId="0" borderId="0" xfId="0" applyNumberFormat="1" applyFont="1" applyFill="1" applyAlignment="1">
      <alignment horizontal="center" vertical="center" wrapText="1"/>
    </xf>
    <xf numFmtId="0" fontId="13" fillId="0" borderId="1" xfId="0" applyFont="1" applyFill="1" applyBorder="1" applyAlignment="1">
      <alignment horizontal="center" vertical="center" wrapText="1"/>
    </xf>
    <xf numFmtId="1" fontId="13" fillId="0" borderId="0" xfId="7" applyNumberFormat="1" applyFont="1" applyFill="1" applyBorder="1" applyAlignment="1">
      <alignment horizontal="center" vertical="center" wrapText="1"/>
    </xf>
    <xf numFmtId="176" fontId="13" fillId="0" borderId="1" xfId="2" applyNumberFormat="1" applyFont="1" applyFill="1" applyBorder="1" applyAlignment="1">
      <alignment horizontal="center" vertical="center" wrapText="1"/>
    </xf>
    <xf numFmtId="176" fontId="13" fillId="0" borderId="1" xfId="4305" applyNumberFormat="1" applyFont="1" applyFill="1" applyBorder="1" applyAlignment="1">
      <alignment horizontal="center" vertical="center" wrapText="1"/>
    </xf>
    <xf numFmtId="176" fontId="13" fillId="0" borderId="0" xfId="4305" applyNumberFormat="1" applyFont="1" applyFill="1" applyBorder="1" applyAlignment="1">
      <alignment horizontal="center" vertical="center" wrapText="1"/>
    </xf>
    <xf numFmtId="1" fontId="240" fillId="0" borderId="1" xfId="7" quotePrefix="1"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3" fontId="13" fillId="0" borderId="1" xfId="0" applyNumberFormat="1" applyFont="1" applyFill="1" applyBorder="1" applyAlignment="1">
      <alignment horizontal="right" vertical="center"/>
    </xf>
    <xf numFmtId="0" fontId="249" fillId="0" borderId="0" xfId="0" applyNumberFormat="1" applyFont="1" applyFill="1" applyBorder="1" applyAlignment="1"/>
    <xf numFmtId="3" fontId="13" fillId="0" borderId="1" xfId="7" applyNumberFormat="1" applyFont="1" applyFill="1" applyBorder="1" applyAlignment="1">
      <alignment horizontal="right" vertical="center"/>
    </xf>
    <xf numFmtId="3" fontId="13" fillId="0" borderId="1" xfId="21" applyNumberFormat="1" applyFont="1" applyFill="1" applyBorder="1" applyAlignment="1">
      <alignment horizontal="right" vertical="center" wrapText="1"/>
    </xf>
    <xf numFmtId="3" fontId="13" fillId="0" borderId="1" xfId="21" applyNumberFormat="1" applyFont="1" applyFill="1" applyBorder="1" applyAlignment="1">
      <alignment horizontal="center" vertical="center" wrapText="1"/>
    </xf>
    <xf numFmtId="3" fontId="13" fillId="0" borderId="0" xfId="21" applyNumberFormat="1" applyFont="1" applyFill="1" applyBorder="1" applyAlignment="1">
      <alignment horizontal="center" vertical="center" wrapText="1"/>
    </xf>
    <xf numFmtId="49" fontId="22" fillId="0" borderId="1" xfId="5" applyNumberFormat="1" applyFont="1" applyFill="1" applyBorder="1" applyAlignment="1">
      <alignment horizontal="center" vertical="center" wrapText="1"/>
    </xf>
    <xf numFmtId="3" fontId="22" fillId="0" borderId="1" xfId="28" applyNumberFormat="1" applyFont="1" applyFill="1" applyBorder="1" applyAlignment="1">
      <alignment horizontal="right" vertical="center"/>
    </xf>
    <xf numFmtId="3" fontId="22" fillId="0" borderId="1" xfId="20" applyNumberFormat="1" applyFont="1" applyFill="1" applyBorder="1" applyAlignment="1">
      <alignment horizontal="right" vertical="center"/>
    </xf>
    <xf numFmtId="176" fontId="22" fillId="0" borderId="1" xfId="28" applyNumberFormat="1" applyFont="1" applyFill="1" applyBorder="1" applyAlignment="1">
      <alignment horizontal="right" vertical="center"/>
    </xf>
    <xf numFmtId="3" fontId="22" fillId="0" borderId="1" xfId="21" applyNumberFormat="1" applyFont="1" applyFill="1" applyBorder="1" applyAlignment="1">
      <alignment horizontal="right" vertical="center" wrapText="1"/>
    </xf>
    <xf numFmtId="167" fontId="19" fillId="0" borderId="0" xfId="7" applyNumberFormat="1" applyFont="1" applyFill="1" applyAlignment="1">
      <alignment vertical="center"/>
    </xf>
    <xf numFmtId="1" fontId="22" fillId="0" borderId="1" xfId="10" applyNumberFormat="1" applyFont="1" applyFill="1" applyBorder="1" applyAlignment="1">
      <alignment horizontal="left" vertical="center" wrapText="1"/>
    </xf>
    <xf numFmtId="49" fontId="12" fillId="0" borderId="1" xfId="21" applyNumberFormat="1" applyFont="1" applyFill="1" applyBorder="1" applyAlignment="1">
      <alignment horizontal="center" vertical="center" wrapText="1"/>
    </xf>
    <xf numFmtId="3" fontId="13" fillId="0" borderId="0" xfId="2" applyNumberFormat="1" applyFont="1" applyFill="1" applyBorder="1" applyAlignment="1">
      <alignment horizontal="center" vertical="center" wrapText="1"/>
    </xf>
    <xf numFmtId="1" fontId="22" fillId="0" borderId="1" xfId="22" applyNumberFormat="1" applyFont="1" applyFill="1" applyBorder="1" applyAlignment="1">
      <alignment horizontal="left" vertical="center" wrapText="1"/>
    </xf>
    <xf numFmtId="1" fontId="22" fillId="0" borderId="1" xfId="22" applyNumberFormat="1" applyFont="1" applyFill="1" applyBorder="1" applyAlignment="1">
      <alignment horizontal="center" vertical="center" wrapText="1"/>
    </xf>
    <xf numFmtId="0" fontId="12" fillId="0" borderId="1" xfId="21" applyFont="1" applyFill="1" applyBorder="1" applyAlignment="1">
      <alignment horizontal="center" vertical="center" wrapText="1"/>
    </xf>
    <xf numFmtId="176" fontId="22" fillId="0" borderId="1" xfId="20" applyNumberFormat="1" applyFont="1" applyFill="1" applyBorder="1" applyAlignment="1">
      <alignment horizontal="right" vertical="center"/>
    </xf>
    <xf numFmtId="1" fontId="22" fillId="0" borderId="1" xfId="10" applyNumberFormat="1" applyFont="1" applyFill="1" applyBorder="1" applyAlignment="1">
      <alignment horizontal="center" vertical="center" wrapText="1"/>
    </xf>
    <xf numFmtId="172" fontId="12" fillId="0" borderId="1" xfId="2" applyNumberFormat="1" applyFont="1" applyFill="1" applyBorder="1" applyAlignment="1">
      <alignment horizontal="center" vertical="center" wrapText="1"/>
    </xf>
    <xf numFmtId="3" fontId="22" fillId="0" borderId="1" xfId="2" applyNumberFormat="1" applyFont="1" applyFill="1" applyBorder="1" applyAlignment="1">
      <alignment horizontal="right" vertical="center" wrapText="1"/>
    </xf>
    <xf numFmtId="176" fontId="22" fillId="0" borderId="1" xfId="1" applyNumberFormat="1" applyFont="1" applyFill="1" applyBorder="1" applyAlignment="1">
      <alignment horizontal="right" vertical="center" wrapText="1"/>
    </xf>
    <xf numFmtId="1" fontId="24" fillId="0" borderId="0" xfId="7" applyNumberFormat="1" applyFont="1" applyFill="1" applyAlignment="1">
      <alignment vertical="center"/>
    </xf>
    <xf numFmtId="176" fontId="12" fillId="0" borderId="1" xfId="28" applyNumberFormat="1" applyFont="1" applyFill="1" applyBorder="1" applyAlignment="1">
      <alignment horizontal="center" vertical="center" wrapText="1"/>
    </xf>
    <xf numFmtId="176" fontId="22" fillId="0" borderId="1" xfId="4306" applyNumberFormat="1" applyFont="1" applyFill="1" applyBorder="1" applyAlignment="1">
      <alignment horizontal="right" vertical="center"/>
    </xf>
    <xf numFmtId="3" fontId="22" fillId="0" borderId="1" xfId="3" applyNumberFormat="1" applyFont="1" applyFill="1" applyBorder="1" applyAlignment="1">
      <alignment horizontal="right" vertical="center"/>
    </xf>
    <xf numFmtId="0" fontId="22" fillId="0" borderId="1" xfId="2" applyFont="1" applyFill="1" applyBorder="1" applyAlignment="1">
      <alignment horizontal="center" vertical="center" wrapText="1"/>
    </xf>
    <xf numFmtId="0" fontId="249" fillId="0" borderId="0" xfId="0" applyFont="1" applyFill="1"/>
    <xf numFmtId="0" fontId="22" fillId="0" borderId="1" xfId="2" applyFont="1" applyFill="1" applyBorder="1" applyAlignment="1">
      <alignment horizontal="left" vertical="center"/>
    </xf>
    <xf numFmtId="183" fontId="22" fillId="0" borderId="1" xfId="5" applyNumberFormat="1" applyFont="1" applyFill="1" applyBorder="1" applyAlignment="1">
      <alignment horizontal="center" vertical="center" wrapText="1"/>
    </xf>
    <xf numFmtId="0" fontId="22" fillId="0" borderId="1" xfId="0" applyNumberFormat="1" applyFont="1" applyFill="1" applyBorder="1" applyAlignment="1">
      <alignment horizontal="left" vertical="center" wrapText="1"/>
    </xf>
    <xf numFmtId="0" fontId="22" fillId="0" borderId="1"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167" fontId="22" fillId="0" borderId="1" xfId="7" applyNumberFormat="1" applyFont="1" applyFill="1" applyBorder="1" applyAlignment="1">
      <alignment vertical="center"/>
    </xf>
    <xf numFmtId="3" fontId="22" fillId="0" borderId="1" xfId="0" applyNumberFormat="1" applyFont="1" applyFill="1" applyBorder="1" applyAlignment="1">
      <alignment vertical="center" wrapText="1"/>
    </xf>
    <xf numFmtId="167" fontId="13" fillId="0" borderId="1" xfId="7" applyNumberFormat="1" applyFont="1" applyFill="1" applyBorder="1" applyAlignment="1">
      <alignment horizontal="right" vertical="center"/>
    </xf>
    <xf numFmtId="3" fontId="22" fillId="0" borderId="1" xfId="34" applyNumberFormat="1" applyFont="1" applyFill="1" applyBorder="1" applyAlignment="1">
      <alignment horizontal="right" vertical="center"/>
    </xf>
    <xf numFmtId="3" fontId="13" fillId="0" borderId="1" xfId="34" applyNumberFormat="1" applyFont="1" applyFill="1" applyBorder="1" applyAlignment="1">
      <alignment horizontal="center" vertical="center"/>
    </xf>
    <xf numFmtId="3" fontId="13" fillId="0" borderId="0" xfId="34" applyNumberFormat="1" applyFont="1" applyFill="1" applyBorder="1" applyAlignment="1">
      <alignment horizontal="center" vertical="center"/>
    </xf>
    <xf numFmtId="0" fontId="22" fillId="0" borderId="1" xfId="35" applyFont="1" applyFill="1" applyBorder="1" applyAlignment="1">
      <alignment horizontal="left" vertical="center" wrapText="1"/>
    </xf>
    <xf numFmtId="167" fontId="12" fillId="0" borderId="1" xfId="7" applyNumberFormat="1" applyFont="1" applyFill="1" applyBorder="1" applyAlignment="1">
      <alignment horizontal="center" vertical="center" wrapText="1"/>
    </xf>
    <xf numFmtId="3" fontId="22" fillId="0" borderId="1" xfId="7" applyNumberFormat="1" applyFont="1" applyFill="1" applyBorder="1" applyAlignment="1">
      <alignment horizontal="right" vertical="center" wrapText="1"/>
    </xf>
    <xf numFmtId="3" fontId="22" fillId="0" borderId="1" xfId="7" applyNumberFormat="1" applyFont="1" applyFill="1" applyBorder="1" applyAlignment="1">
      <alignment horizontal="right" vertical="center"/>
    </xf>
    <xf numFmtId="167" fontId="22" fillId="0" borderId="1" xfId="7" applyNumberFormat="1" applyFont="1" applyFill="1" applyBorder="1" applyAlignment="1">
      <alignment horizontal="right" vertical="center"/>
    </xf>
    <xf numFmtId="176" fontId="22" fillId="0" borderId="1" xfId="1" applyNumberFormat="1" applyFont="1" applyFill="1" applyBorder="1" applyAlignment="1">
      <alignment horizontal="right" vertical="center"/>
    </xf>
    <xf numFmtId="0" fontId="13" fillId="0" borderId="0" xfId="4" applyFont="1" applyFill="1" applyAlignment="1">
      <alignment vertical="center"/>
    </xf>
    <xf numFmtId="0" fontId="26" fillId="0" borderId="1" xfId="5" applyNumberFormat="1" applyFont="1" applyFill="1" applyBorder="1" applyAlignment="1">
      <alignment horizontal="center" vertical="center"/>
    </xf>
    <xf numFmtId="0" fontId="26" fillId="0" borderId="1" xfId="35" applyFont="1" applyFill="1" applyBorder="1" applyAlignment="1">
      <alignment horizontal="left" vertical="center" wrapText="1"/>
    </xf>
    <xf numFmtId="0" fontId="250" fillId="0" borderId="1" xfId="5" applyNumberFormat="1" applyFont="1" applyFill="1" applyBorder="1" applyAlignment="1">
      <alignment horizontal="center" vertical="center"/>
    </xf>
    <xf numFmtId="0" fontId="250" fillId="0" borderId="1" xfId="35" applyFont="1" applyFill="1" applyBorder="1" applyAlignment="1">
      <alignment horizontal="left" vertical="center" wrapText="1"/>
    </xf>
    <xf numFmtId="0" fontId="251" fillId="0" borderId="1" xfId="2" applyNumberFormat="1" applyFont="1" applyFill="1" applyBorder="1" applyAlignment="1">
      <alignment horizontal="center" vertical="center" wrapText="1"/>
    </xf>
    <xf numFmtId="183" fontId="251" fillId="0" borderId="1" xfId="5" applyNumberFormat="1" applyFont="1" applyFill="1" applyBorder="1" applyAlignment="1">
      <alignment horizontal="center" vertical="center" wrapText="1"/>
    </xf>
    <xf numFmtId="49" fontId="251" fillId="0" borderId="1" xfId="5" applyNumberFormat="1" applyFont="1" applyFill="1" applyBorder="1" applyAlignment="1">
      <alignment horizontal="center" vertical="center" wrapText="1"/>
    </xf>
    <xf numFmtId="167" fontId="252" fillId="0" borderId="1" xfId="7" applyNumberFormat="1" applyFont="1" applyFill="1" applyBorder="1" applyAlignment="1">
      <alignment horizontal="center" vertical="center" wrapText="1"/>
    </xf>
    <xf numFmtId="3" fontId="251" fillId="0" borderId="1" xfId="7" applyNumberFormat="1" applyFont="1" applyFill="1" applyBorder="1" applyAlignment="1">
      <alignment horizontal="right" vertical="center" wrapText="1"/>
    </xf>
    <xf numFmtId="3" fontId="251" fillId="0" borderId="1" xfId="7" applyNumberFormat="1" applyFont="1" applyFill="1" applyBorder="1" applyAlignment="1">
      <alignment horizontal="right" vertical="center"/>
    </xf>
    <xf numFmtId="167" fontId="251" fillId="0" borderId="1" xfId="7" applyNumberFormat="1" applyFont="1" applyFill="1" applyBorder="1" applyAlignment="1">
      <alignment horizontal="right" vertical="center"/>
    </xf>
    <xf numFmtId="176" fontId="251" fillId="0" borderId="1" xfId="1" applyNumberFormat="1" applyFont="1" applyFill="1" applyBorder="1" applyAlignment="1">
      <alignment horizontal="right" vertical="center"/>
    </xf>
    <xf numFmtId="176" fontId="32" fillId="0" borderId="0" xfId="1" applyNumberFormat="1" applyFont="1" applyFill="1" applyBorder="1" applyAlignment="1">
      <alignment horizontal="center" vertical="center"/>
    </xf>
    <xf numFmtId="0" fontId="253" fillId="0" borderId="0" xfId="0" applyFont="1" applyFill="1"/>
    <xf numFmtId="0" fontId="32" fillId="0" borderId="0" xfId="4" applyFont="1" applyFill="1" applyAlignment="1">
      <alignment vertical="center"/>
    </xf>
    <xf numFmtId="0" fontId="13" fillId="0" borderId="0" xfId="2" applyNumberFormat="1" applyFont="1" applyFill="1" applyBorder="1" applyAlignment="1">
      <alignment horizontal="center" vertical="center" wrapText="1"/>
    </xf>
    <xf numFmtId="183" fontId="26" fillId="0" borderId="1" xfId="5" applyNumberFormat="1" applyFont="1" applyFill="1" applyBorder="1" applyAlignment="1">
      <alignment horizontal="center" vertical="center" wrapText="1"/>
    </xf>
    <xf numFmtId="49" fontId="26" fillId="0" borderId="1" xfId="5" applyNumberFormat="1" applyFont="1" applyFill="1" applyBorder="1" applyAlignment="1">
      <alignment horizontal="center" vertical="center" wrapText="1"/>
    </xf>
    <xf numFmtId="167" fontId="240" fillId="0" borderId="1" xfId="7" applyNumberFormat="1" applyFont="1" applyFill="1" applyBorder="1" applyAlignment="1">
      <alignment horizontal="center" vertical="center" wrapText="1"/>
    </xf>
    <xf numFmtId="0" fontId="254" fillId="0" borderId="0" xfId="0" applyFont="1" applyFill="1"/>
    <xf numFmtId="0" fontId="19" fillId="0" borderId="0" xfId="4" applyFont="1" applyFill="1" applyAlignment="1">
      <alignment vertical="center"/>
    </xf>
    <xf numFmtId="167" fontId="13" fillId="0" borderId="1" xfId="39" applyNumberFormat="1" applyFont="1" applyFill="1" applyBorder="1" applyAlignment="1">
      <alignment horizontal="left" vertical="center" wrapText="1"/>
    </xf>
    <xf numFmtId="167" fontId="12" fillId="0" borderId="1" xfId="39" applyNumberFormat="1" applyFont="1" applyFill="1" applyBorder="1" applyAlignment="1">
      <alignment horizontal="center" vertical="center" wrapText="1"/>
    </xf>
    <xf numFmtId="181" fontId="25" fillId="0" borderId="1" xfId="16" applyNumberFormat="1" applyFont="1" applyFill="1" applyBorder="1" applyAlignment="1">
      <alignment vertical="center"/>
    </xf>
    <xf numFmtId="181" fontId="13" fillId="0" borderId="1" xfId="16" applyNumberFormat="1" applyFont="1" applyFill="1" applyBorder="1" applyAlignment="1">
      <alignment horizontal="right" vertical="center"/>
    </xf>
    <xf numFmtId="181" fontId="13" fillId="0" borderId="1" xfId="16" applyNumberFormat="1" applyFont="1" applyFill="1" applyBorder="1" applyAlignment="1">
      <alignment horizontal="center" vertical="center" wrapText="1"/>
    </xf>
    <xf numFmtId="181" fontId="13" fillId="0" borderId="0" xfId="16" applyNumberFormat="1" applyFont="1" applyFill="1" applyBorder="1" applyAlignment="1">
      <alignment horizontal="center" vertical="center" wrapText="1"/>
    </xf>
    <xf numFmtId="0" fontId="13" fillId="0" borderId="1" xfId="2" quotePrefix="1" applyNumberFormat="1" applyFont="1" applyFill="1" applyBorder="1" applyAlignment="1">
      <alignment horizontal="center" vertical="center" wrapText="1"/>
    </xf>
    <xf numFmtId="176" fontId="13" fillId="0" borderId="0" xfId="2" applyNumberFormat="1" applyFont="1" applyFill="1" applyBorder="1" applyAlignment="1">
      <alignment horizontal="center" vertical="center" wrapText="1"/>
    </xf>
    <xf numFmtId="169" fontId="240" fillId="0" borderId="1" xfId="1" quotePrefix="1" applyFont="1" applyFill="1" applyBorder="1" applyAlignment="1">
      <alignment horizontal="center" vertical="center" wrapText="1"/>
    </xf>
    <xf numFmtId="176" fontId="19" fillId="0" borderId="0" xfId="1" applyNumberFormat="1" applyFont="1" applyFill="1" applyBorder="1" applyAlignment="1">
      <alignment horizontal="center" vertical="center" wrapText="1"/>
    </xf>
    <xf numFmtId="169" fontId="248" fillId="0" borderId="1" xfId="1" quotePrefix="1" applyFont="1" applyFill="1" applyBorder="1" applyAlignment="1">
      <alignment horizontal="center" vertical="center" wrapText="1"/>
    </xf>
    <xf numFmtId="179" fontId="12" fillId="0" borderId="1" xfId="31" applyNumberFormat="1" applyFont="1" applyFill="1" applyBorder="1" applyAlignment="1">
      <alignment horizontal="center" vertical="center" wrapText="1"/>
    </xf>
    <xf numFmtId="3" fontId="22" fillId="0" borderId="1" xfId="7" quotePrefix="1" applyNumberFormat="1" applyFont="1" applyFill="1" applyBorder="1" applyAlignment="1">
      <alignment horizontal="right" vertical="center" wrapText="1"/>
    </xf>
    <xf numFmtId="176" fontId="22" fillId="0" borderId="1" xfId="4" applyNumberFormat="1" applyFont="1" applyFill="1" applyBorder="1" applyAlignment="1">
      <alignment horizontal="right" vertical="center" wrapText="1"/>
    </xf>
    <xf numFmtId="3" fontId="22" fillId="0" borderId="1" xfId="4" applyNumberFormat="1" applyFont="1" applyFill="1" applyBorder="1" applyAlignment="1">
      <alignment horizontal="right" vertical="center"/>
    </xf>
    <xf numFmtId="3" fontId="13" fillId="0" borderId="1" xfId="4" applyNumberFormat="1" applyFont="1" applyFill="1" applyBorder="1" applyAlignment="1">
      <alignment horizontal="center" vertical="center"/>
    </xf>
    <xf numFmtId="3" fontId="13" fillId="0" borderId="0" xfId="4" applyNumberFormat="1" applyFont="1" applyFill="1" applyBorder="1" applyAlignment="1">
      <alignment horizontal="center" vertical="center"/>
    </xf>
    <xf numFmtId="3" fontId="12" fillId="0" borderId="1" xfId="32" applyNumberFormat="1" applyFont="1" applyFill="1" applyBorder="1" applyAlignment="1">
      <alignment horizontal="center" vertical="center" wrapText="1"/>
    </xf>
    <xf numFmtId="179" fontId="22" fillId="0" borderId="1" xfId="31" applyNumberFormat="1" applyFont="1" applyFill="1" applyBorder="1" applyAlignment="1">
      <alignment horizontal="right" vertical="center" wrapText="1"/>
    </xf>
    <xf numFmtId="1" fontId="22" fillId="0" borderId="1" xfId="7" applyNumberFormat="1" applyFont="1" applyFill="1" applyBorder="1" applyAlignment="1">
      <alignment horizontal="right" vertical="center"/>
    </xf>
    <xf numFmtId="0" fontId="22" fillId="0" borderId="1" xfId="4" applyFont="1" applyFill="1" applyBorder="1" applyAlignment="1">
      <alignment horizontal="right" vertical="center" wrapText="1"/>
    </xf>
    <xf numFmtId="3" fontId="24" fillId="0" borderId="1" xfId="80" applyNumberFormat="1" applyFont="1" applyFill="1" applyBorder="1" applyAlignment="1">
      <alignment horizontal="left" vertical="center" wrapText="1"/>
    </xf>
    <xf numFmtId="0" fontId="250" fillId="0" borderId="1" xfId="2" applyNumberFormat="1" applyFont="1" applyFill="1" applyBorder="1" applyAlignment="1">
      <alignment horizontal="center" vertical="center" wrapText="1"/>
    </xf>
    <xf numFmtId="0" fontId="250" fillId="0" borderId="1" xfId="5" applyNumberFormat="1" applyFont="1" applyFill="1" applyBorder="1" applyAlignment="1">
      <alignment horizontal="center" vertical="center" wrapText="1"/>
    </xf>
    <xf numFmtId="3" fontId="248" fillId="0" borderId="1" xfId="32" applyNumberFormat="1" applyFont="1" applyFill="1" applyBorder="1" applyAlignment="1">
      <alignment horizontal="center" vertical="center" wrapText="1"/>
    </xf>
    <xf numFmtId="176" fontId="250" fillId="0" borderId="1" xfId="4" applyNumberFormat="1" applyFont="1" applyFill="1" applyBorder="1" applyAlignment="1">
      <alignment horizontal="right" vertical="center" wrapText="1"/>
    </xf>
    <xf numFmtId="0" fontId="250" fillId="0" borderId="1" xfId="4" applyFont="1" applyFill="1" applyBorder="1" applyAlignment="1">
      <alignment horizontal="right" vertical="center" wrapText="1"/>
    </xf>
    <xf numFmtId="3" fontId="250" fillId="0" borderId="1" xfId="4" applyNumberFormat="1" applyFont="1" applyFill="1" applyBorder="1" applyAlignment="1">
      <alignment horizontal="right" vertical="center"/>
    </xf>
    <xf numFmtId="3" fontId="24" fillId="0" borderId="1" xfId="4" applyNumberFormat="1" applyFont="1" applyFill="1" applyBorder="1" applyAlignment="1">
      <alignment horizontal="center" vertical="center"/>
    </xf>
    <xf numFmtId="3" fontId="24" fillId="0" borderId="0" xfId="4" applyNumberFormat="1" applyFont="1" applyFill="1" applyBorder="1" applyAlignment="1">
      <alignment horizontal="center" vertical="center"/>
    </xf>
    <xf numFmtId="0" fontId="255" fillId="0" borderId="0" xfId="4" applyFont="1" applyFill="1" applyAlignment="1">
      <alignment vertical="center"/>
    </xf>
    <xf numFmtId="0" fontId="250" fillId="0" borderId="0" xfId="2" applyNumberFormat="1" applyFont="1" applyFill="1" applyBorder="1" applyAlignment="1">
      <alignment horizontal="center" vertical="center" wrapText="1"/>
    </xf>
    <xf numFmtId="0" fontId="24" fillId="0" borderId="1" xfId="2" applyNumberFormat="1" applyFont="1" applyFill="1" applyBorder="1" applyAlignment="1">
      <alignment horizontal="left" vertical="center" wrapText="1"/>
    </xf>
    <xf numFmtId="0" fontId="32" fillId="0" borderId="1" xfId="2" applyNumberFormat="1" applyFont="1" applyFill="1" applyBorder="1" applyAlignment="1">
      <alignment horizontal="center" vertical="center" wrapText="1"/>
    </xf>
    <xf numFmtId="0" fontId="252" fillId="0" borderId="1" xfId="2" applyNumberFormat="1" applyFont="1" applyFill="1" applyBorder="1" applyAlignment="1">
      <alignment horizontal="center" vertical="center" wrapText="1"/>
    </xf>
    <xf numFmtId="176" fontId="24" fillId="0" borderId="0" xfId="2" applyNumberFormat="1" applyFont="1" applyFill="1" applyBorder="1" applyAlignment="1">
      <alignment horizontal="center" vertical="center" wrapText="1"/>
    </xf>
    <xf numFmtId="0" fontId="24" fillId="0" borderId="0" xfId="2" applyNumberFormat="1" applyFont="1" applyFill="1" applyBorder="1" applyAlignment="1">
      <alignment horizontal="center" vertical="center" wrapText="1"/>
    </xf>
    <xf numFmtId="49" fontId="12" fillId="0" borderId="1" xfId="10" applyNumberFormat="1" applyFont="1" applyFill="1" applyBorder="1" applyAlignment="1">
      <alignment horizontal="center" vertical="center" wrapText="1"/>
    </xf>
    <xf numFmtId="176" fontId="12" fillId="0" borderId="1" xfId="3" applyNumberFormat="1" applyFont="1" applyFill="1" applyBorder="1" applyAlignment="1">
      <alignment horizontal="center" vertical="center" wrapText="1"/>
    </xf>
    <xf numFmtId="3" fontId="13" fillId="0" borderId="1" xfId="3" applyNumberFormat="1" applyFont="1" applyFill="1" applyBorder="1" applyAlignment="1">
      <alignment horizontal="right" vertical="center"/>
    </xf>
    <xf numFmtId="3" fontId="13" fillId="0" borderId="1" xfId="2" applyNumberFormat="1" applyFont="1" applyFill="1" applyBorder="1" applyAlignment="1">
      <alignment horizontal="right" vertical="center" wrapText="1"/>
    </xf>
    <xf numFmtId="169" fontId="22" fillId="0" borderId="1" xfId="1" applyFont="1" applyFill="1" applyBorder="1" applyAlignment="1">
      <alignment horizontal="center" vertical="center" wrapText="1"/>
    </xf>
    <xf numFmtId="3" fontId="256" fillId="0" borderId="1" xfId="21" applyNumberFormat="1" applyFont="1" applyFill="1" applyBorder="1" applyAlignment="1">
      <alignment horizontal="right" vertical="center" wrapText="1"/>
    </xf>
    <xf numFmtId="176" fontId="256" fillId="0" borderId="1" xfId="1" applyNumberFormat="1" applyFont="1" applyFill="1" applyBorder="1" applyAlignment="1">
      <alignment horizontal="right" vertical="center"/>
    </xf>
    <xf numFmtId="176" fontId="12" fillId="0" borderId="1" xfId="20" applyNumberFormat="1" applyFont="1" applyFill="1" applyBorder="1" applyAlignment="1">
      <alignment horizontal="center" vertical="center" wrapText="1"/>
    </xf>
    <xf numFmtId="3" fontId="13" fillId="0" borderId="1" xfId="20" applyNumberFormat="1" applyFont="1" applyFill="1" applyBorder="1" applyAlignment="1">
      <alignment horizontal="right" vertical="center"/>
    </xf>
    <xf numFmtId="3" fontId="34" fillId="0" borderId="1" xfId="21" applyNumberFormat="1" applyFont="1" applyFill="1" applyBorder="1" applyAlignment="1">
      <alignment horizontal="right" vertical="center" wrapText="1"/>
    </xf>
    <xf numFmtId="0" fontId="12" fillId="0" borderId="1" xfId="5" applyNumberFormat="1" applyFont="1" applyFill="1" applyBorder="1" applyAlignment="1">
      <alignment horizontal="center" vertical="center" wrapText="1"/>
    </xf>
    <xf numFmtId="3" fontId="13" fillId="0" borderId="1" xfId="16" applyNumberFormat="1" applyFont="1" applyFill="1" applyBorder="1" applyAlignment="1">
      <alignment horizontal="right" vertical="center"/>
    </xf>
    <xf numFmtId="167" fontId="22" fillId="0" borderId="1" xfId="27" applyNumberFormat="1" applyFont="1" applyFill="1" applyBorder="1" applyAlignment="1">
      <alignment horizontal="left" vertical="center" wrapText="1"/>
    </xf>
    <xf numFmtId="169" fontId="12" fillId="0" borderId="1" xfId="3" quotePrefix="1" applyFont="1" applyFill="1" applyBorder="1" applyAlignment="1">
      <alignment horizontal="center" vertical="center" wrapText="1"/>
    </xf>
    <xf numFmtId="176" fontId="13" fillId="0" borderId="1" xfId="3" applyNumberFormat="1" applyFont="1" applyFill="1" applyBorder="1" applyAlignment="1">
      <alignment horizontal="center" vertical="center" wrapText="1"/>
    </xf>
    <xf numFmtId="183" fontId="250" fillId="0" borderId="1" xfId="5" applyNumberFormat="1" applyFont="1" applyFill="1" applyBorder="1" applyAlignment="1">
      <alignment horizontal="center" vertical="center" wrapText="1"/>
    </xf>
    <xf numFmtId="49" fontId="250" fillId="0" borderId="1" xfId="5" applyNumberFormat="1" applyFont="1" applyFill="1" applyBorder="1" applyAlignment="1">
      <alignment horizontal="center" vertical="center" wrapText="1"/>
    </xf>
    <xf numFmtId="167" fontId="248" fillId="0" borderId="1" xfId="7" applyNumberFormat="1" applyFont="1" applyFill="1" applyBorder="1" applyAlignment="1">
      <alignment horizontal="center" vertical="center" wrapText="1"/>
    </xf>
    <xf numFmtId="3" fontId="250" fillId="0" borderId="1" xfId="7" applyNumberFormat="1" applyFont="1" applyFill="1" applyBorder="1" applyAlignment="1">
      <alignment horizontal="right" vertical="center" wrapText="1"/>
    </xf>
    <xf numFmtId="3" fontId="250" fillId="0" borderId="1" xfId="7" applyNumberFormat="1" applyFont="1" applyFill="1" applyBorder="1" applyAlignment="1">
      <alignment horizontal="right" vertical="center"/>
    </xf>
    <xf numFmtId="167" fontId="250" fillId="0" borderId="1" xfId="7" applyNumberFormat="1" applyFont="1" applyFill="1" applyBorder="1" applyAlignment="1">
      <alignment horizontal="right" vertical="center"/>
    </xf>
    <xf numFmtId="176" fontId="250" fillId="0" borderId="1" xfId="1" applyNumberFormat="1" applyFont="1" applyFill="1" applyBorder="1" applyAlignment="1">
      <alignment horizontal="right" vertical="center"/>
    </xf>
    <xf numFmtId="0" fontId="257" fillId="0" borderId="0" xfId="0" applyFont="1" applyFill="1"/>
    <xf numFmtId="0" fontId="24" fillId="0" borderId="0" xfId="4" applyFont="1" applyFill="1" applyAlignment="1">
      <alignment vertical="center"/>
    </xf>
    <xf numFmtId="3" fontId="26" fillId="0" borderId="1" xfId="7" applyNumberFormat="1" applyFont="1" applyFill="1" applyBorder="1" applyAlignment="1">
      <alignment horizontal="left" vertical="center" wrapText="1"/>
    </xf>
    <xf numFmtId="0" fontId="26" fillId="0" borderId="1" xfId="5" applyNumberFormat="1" applyFont="1" applyFill="1" applyBorder="1" applyAlignment="1">
      <alignment horizontal="center" vertical="center" wrapText="1"/>
    </xf>
    <xf numFmtId="3" fontId="240" fillId="0" borderId="1" xfId="32" applyNumberFormat="1" applyFont="1" applyFill="1" applyBorder="1" applyAlignment="1">
      <alignment horizontal="center" vertical="center" wrapText="1"/>
    </xf>
    <xf numFmtId="3" fontId="19" fillId="0" borderId="1" xfId="4" applyNumberFormat="1" applyFont="1" applyFill="1" applyBorder="1" applyAlignment="1">
      <alignment horizontal="center" vertical="center"/>
    </xf>
    <xf numFmtId="3" fontId="19" fillId="0" borderId="0" xfId="4" applyNumberFormat="1" applyFont="1" applyFill="1" applyBorder="1" applyAlignment="1">
      <alignment horizontal="center" vertical="center"/>
    </xf>
    <xf numFmtId="167" fontId="24" fillId="0" borderId="1" xfId="39" applyNumberFormat="1" applyFont="1" applyFill="1" applyBorder="1" applyAlignment="1">
      <alignment horizontal="left" vertical="center" wrapText="1"/>
    </xf>
    <xf numFmtId="167" fontId="24" fillId="0" borderId="1" xfId="39" applyNumberFormat="1" applyFont="1" applyFill="1" applyBorder="1" applyAlignment="1">
      <alignment horizontal="center" vertical="center" wrapText="1"/>
    </xf>
    <xf numFmtId="167" fontId="248" fillId="0" borderId="1" xfId="39" applyNumberFormat="1" applyFont="1" applyFill="1" applyBorder="1" applyAlignment="1">
      <alignment horizontal="center" vertical="center" wrapText="1"/>
    </xf>
    <xf numFmtId="181" fontId="24" fillId="0" borderId="1" xfId="16" applyNumberFormat="1" applyFont="1" applyFill="1" applyBorder="1" applyAlignment="1">
      <alignment horizontal="right" vertical="center" wrapText="1"/>
    </xf>
    <xf numFmtId="181" fontId="24" fillId="0" borderId="1" xfId="16" applyNumberFormat="1" applyFont="1" applyFill="1" applyBorder="1" applyAlignment="1">
      <alignment horizontal="right" vertical="center"/>
    </xf>
    <xf numFmtId="181" fontId="24" fillId="0" borderId="1" xfId="16" applyNumberFormat="1" applyFont="1" applyFill="1" applyBorder="1" applyAlignment="1">
      <alignment horizontal="center" vertical="center" wrapText="1"/>
    </xf>
    <xf numFmtId="181" fontId="24" fillId="0" borderId="0" xfId="16" applyNumberFormat="1" applyFont="1" applyFill="1" applyBorder="1" applyAlignment="1">
      <alignment horizontal="center" vertical="center" wrapText="1"/>
    </xf>
    <xf numFmtId="181" fontId="24" fillId="0" borderId="0" xfId="4" applyNumberFormat="1" applyFont="1" applyFill="1" applyAlignment="1">
      <alignment vertical="center"/>
    </xf>
    <xf numFmtId="0" fontId="12" fillId="0" borderId="1" xfId="0" applyNumberFormat="1" applyFont="1" applyFill="1" applyBorder="1" applyAlignment="1">
      <alignment horizontal="center" vertical="center" wrapText="1"/>
    </xf>
    <xf numFmtId="3" fontId="13" fillId="0" borderId="1" xfId="34" applyNumberFormat="1" applyFont="1" applyFill="1" applyBorder="1" applyAlignment="1">
      <alignment horizontal="right" vertical="center"/>
    </xf>
    <xf numFmtId="1" fontId="19" fillId="0" borderId="0" xfId="7" applyNumberFormat="1" applyFont="1" applyFill="1" applyAlignment="1">
      <alignment vertical="center"/>
    </xf>
    <xf numFmtId="167" fontId="13" fillId="0" borderId="1" xfId="27" applyNumberFormat="1" applyFont="1" applyFill="1" applyBorder="1" applyAlignment="1">
      <alignment horizontal="center" vertical="center" wrapText="1"/>
    </xf>
    <xf numFmtId="167" fontId="12" fillId="0" borderId="1" xfId="27" applyNumberFormat="1" applyFont="1" applyFill="1" applyBorder="1" applyAlignment="1">
      <alignment horizontal="center" vertical="center" wrapText="1"/>
    </xf>
    <xf numFmtId="0" fontId="12" fillId="0" borderId="1" xfId="2" quotePrefix="1" applyNumberFormat="1" applyFont="1" applyFill="1" applyBorder="1" applyAlignment="1">
      <alignment horizontal="center" vertical="center" wrapText="1"/>
    </xf>
    <xf numFmtId="0" fontId="22" fillId="0" borderId="1" xfId="2" applyFont="1" applyFill="1" applyBorder="1" applyAlignment="1">
      <alignment horizontal="left" vertical="center" wrapText="1"/>
    </xf>
    <xf numFmtId="0" fontId="12" fillId="0" borderId="1" xfId="21" applyNumberFormat="1" applyFont="1" applyFill="1" applyBorder="1" applyAlignment="1">
      <alignment horizontal="center" vertical="center" wrapText="1"/>
    </xf>
    <xf numFmtId="169" fontId="13" fillId="0" borderId="1" xfId="20" applyFont="1" applyFill="1" applyBorder="1" applyAlignment="1">
      <alignment horizontal="center" vertical="center" wrapText="1"/>
    </xf>
    <xf numFmtId="176" fontId="12" fillId="0" borderId="1" xfId="20" quotePrefix="1" applyNumberFormat="1" applyFont="1" applyFill="1" applyBorder="1" applyAlignment="1">
      <alignment horizontal="center" vertical="center" wrapText="1"/>
    </xf>
    <xf numFmtId="0" fontId="13" fillId="0" borderId="1" xfId="21" applyNumberFormat="1" applyFont="1" applyFill="1" applyBorder="1" applyAlignment="1">
      <alignment horizontal="center" vertical="center" wrapText="1"/>
    </xf>
    <xf numFmtId="0" fontId="13" fillId="0" borderId="0" xfId="21" applyNumberFormat="1" applyFont="1" applyFill="1" applyBorder="1" applyAlignment="1">
      <alignment horizontal="center" vertical="center" wrapText="1"/>
    </xf>
    <xf numFmtId="167" fontId="12" fillId="0" borderId="1" xfId="7" quotePrefix="1" applyNumberFormat="1" applyFont="1" applyFill="1" applyBorder="1" applyAlignment="1">
      <alignment horizontal="center" vertical="center" wrapText="1"/>
    </xf>
    <xf numFmtId="174" fontId="13" fillId="0" borderId="1" xfId="3" applyNumberFormat="1" applyFont="1" applyFill="1" applyBorder="1" applyAlignment="1">
      <alignment horizontal="center" vertical="center" wrapText="1"/>
    </xf>
    <xf numFmtId="0" fontId="12" fillId="0" borderId="1" xfId="17" quotePrefix="1" applyNumberFormat="1" applyFont="1" applyFill="1" applyBorder="1" applyAlignment="1">
      <alignment horizontal="center" vertical="center" wrapText="1"/>
    </xf>
    <xf numFmtId="49" fontId="12" fillId="0" borderId="1" xfId="2" applyNumberFormat="1" applyFont="1" applyFill="1" applyBorder="1" applyAlignment="1">
      <alignment horizontal="center" vertical="center" wrapText="1"/>
    </xf>
    <xf numFmtId="0" fontId="13" fillId="0" borderId="1" xfId="4307" applyFont="1" applyFill="1" applyBorder="1" applyAlignment="1">
      <alignment vertical="center" wrapText="1"/>
    </xf>
    <xf numFmtId="0" fontId="23" fillId="0" borderId="1" xfId="4307" applyFont="1" applyFill="1" applyBorder="1" applyAlignment="1">
      <alignment horizontal="center" vertical="center" wrapText="1"/>
    </xf>
    <xf numFmtId="181" fontId="13" fillId="0" borderId="1" xfId="16" applyNumberFormat="1" applyFont="1" applyFill="1" applyBorder="1" applyAlignment="1">
      <alignment horizontal="right" vertical="center" wrapText="1"/>
    </xf>
    <xf numFmtId="181" fontId="13" fillId="0" borderId="0" xfId="4" applyNumberFormat="1" applyFont="1" applyFill="1" applyAlignment="1">
      <alignment vertical="center"/>
    </xf>
    <xf numFmtId="176" fontId="12" fillId="0" borderId="1" xfId="38" quotePrefix="1" applyNumberFormat="1" applyFont="1" applyFill="1" applyBorder="1" applyAlignment="1">
      <alignment horizontal="center" vertical="center" wrapText="1"/>
    </xf>
    <xf numFmtId="176" fontId="22" fillId="0" borderId="1" xfId="38" applyNumberFormat="1" applyFont="1" applyFill="1" applyBorder="1" applyAlignment="1">
      <alignment horizontal="right" vertical="center"/>
    </xf>
    <xf numFmtId="0" fontId="13" fillId="0" borderId="1" xfId="4307" applyNumberFormat="1" applyFont="1" applyFill="1" applyBorder="1" applyAlignment="1">
      <alignment horizontal="center" vertical="center" wrapText="1"/>
    </xf>
    <xf numFmtId="49" fontId="13" fillId="0" borderId="1" xfId="16" applyNumberFormat="1" applyFont="1" applyFill="1" applyBorder="1" applyAlignment="1">
      <alignment horizontal="center" vertical="center" wrapText="1"/>
    </xf>
    <xf numFmtId="1" fontId="25" fillId="0" borderId="1" xfId="7" applyNumberFormat="1" applyFont="1" applyFill="1" applyBorder="1" applyAlignment="1">
      <alignment horizontal="center" vertical="center" wrapText="1"/>
    </xf>
    <xf numFmtId="176" fontId="12" fillId="0" borderId="1" xfId="52" applyNumberFormat="1" applyFont="1" applyFill="1" applyBorder="1" applyAlignment="1">
      <alignment horizontal="center" vertical="center" wrapText="1"/>
    </xf>
    <xf numFmtId="167" fontId="25" fillId="0" borderId="1" xfId="27" applyNumberFormat="1" applyFont="1" applyFill="1" applyBorder="1" applyAlignment="1">
      <alignment horizontal="left" vertical="center" wrapText="1"/>
    </xf>
    <xf numFmtId="169" fontId="12" fillId="0" borderId="1" xfId="16" quotePrefix="1" applyNumberFormat="1" applyFont="1" applyFill="1" applyBorder="1" applyAlignment="1">
      <alignment horizontal="center" vertical="center" wrapText="1"/>
    </xf>
    <xf numFmtId="3" fontId="13" fillId="0" borderId="1" xfId="16" applyNumberFormat="1" applyFont="1" applyFill="1" applyBorder="1" applyAlignment="1">
      <alignment horizontal="center" vertical="center"/>
    </xf>
    <xf numFmtId="3" fontId="13" fillId="0" borderId="0" xfId="16" applyNumberFormat="1" applyFont="1" applyFill="1" applyBorder="1" applyAlignment="1">
      <alignment horizontal="center" vertical="center"/>
    </xf>
    <xf numFmtId="0" fontId="13" fillId="0" borderId="1" xfId="47" applyNumberFormat="1" applyFont="1" applyFill="1" applyBorder="1" applyAlignment="1">
      <alignment horizontal="center" vertical="center" wrapText="1"/>
    </xf>
    <xf numFmtId="0" fontId="236" fillId="0" borderId="0" xfId="0" applyFont="1" applyFill="1" applyBorder="1"/>
    <xf numFmtId="181" fontId="22" fillId="0" borderId="1" xfId="16" applyNumberFormat="1" applyFont="1" applyFill="1" applyBorder="1" applyAlignment="1">
      <alignment horizontal="right" vertical="center"/>
    </xf>
    <xf numFmtId="181" fontId="22" fillId="0" borderId="1" xfId="16" applyNumberFormat="1" applyFont="1" applyFill="1" applyBorder="1" applyAlignment="1">
      <alignment horizontal="center" vertical="center" wrapText="1"/>
    </xf>
    <xf numFmtId="181" fontId="256" fillId="0" borderId="1" xfId="16" applyNumberFormat="1" applyFont="1" applyFill="1" applyBorder="1" applyAlignment="1">
      <alignment horizontal="center" vertical="center" wrapText="1"/>
    </xf>
    <xf numFmtId="0" fontId="12" fillId="0" borderId="1" xfId="25" applyFont="1" applyFill="1" applyBorder="1" applyAlignment="1">
      <alignment horizontal="center" vertical="center" wrapText="1"/>
    </xf>
    <xf numFmtId="181" fontId="34" fillId="0" borderId="1" xfId="16" applyNumberFormat="1" applyFont="1" applyFill="1" applyBorder="1" applyAlignment="1">
      <alignment horizontal="right" vertical="center" wrapText="1"/>
    </xf>
    <xf numFmtId="2" fontId="13" fillId="0" borderId="1" xfId="39" applyNumberFormat="1" applyFont="1" applyFill="1" applyBorder="1" applyAlignment="1">
      <alignment horizontal="center" vertical="center" wrapText="1"/>
    </xf>
    <xf numFmtId="0" fontId="12" fillId="0" borderId="1" xfId="47" applyFont="1" applyFill="1" applyBorder="1" applyAlignment="1">
      <alignment horizontal="center" vertical="center" wrapText="1"/>
    </xf>
    <xf numFmtId="0" fontId="13" fillId="0" borderId="1" xfId="0" applyFont="1" applyFill="1" applyBorder="1" applyAlignment="1">
      <alignment horizontal="center"/>
    </xf>
    <xf numFmtId="2" fontId="13" fillId="0" borderId="1" xfId="27" applyNumberFormat="1" applyFont="1" applyFill="1" applyBorder="1" applyAlignment="1">
      <alignment horizontal="center" vertical="center" wrapText="1"/>
    </xf>
    <xf numFmtId="167" fontId="13" fillId="0" borderId="1" xfId="39" applyNumberFormat="1" applyFont="1" applyFill="1" applyBorder="1" applyAlignment="1">
      <alignment horizontal="center" vertical="center" wrapText="1"/>
    </xf>
    <xf numFmtId="0" fontId="13" fillId="0" borderId="1" xfId="5" quotePrefix="1" applyNumberFormat="1" applyFont="1" applyFill="1" applyBorder="1" applyAlignment="1">
      <alignment horizontal="center" vertical="center" wrapText="1"/>
    </xf>
    <xf numFmtId="167" fontId="13" fillId="0" borderId="1" xfId="7" applyNumberFormat="1" applyFont="1" applyFill="1" applyBorder="1" applyAlignment="1">
      <alignment horizontal="center" vertical="center" wrapText="1"/>
    </xf>
    <xf numFmtId="0" fontId="13" fillId="0" borderId="1" xfId="7" applyNumberFormat="1" applyFont="1" applyFill="1" applyBorder="1" applyAlignment="1">
      <alignment horizontal="center" vertical="center" wrapText="1"/>
    </xf>
    <xf numFmtId="0" fontId="13" fillId="0" borderId="1" xfId="39" applyNumberFormat="1" applyFont="1" applyFill="1" applyBorder="1" applyAlignment="1">
      <alignment horizontal="center" vertical="center" wrapText="1"/>
    </xf>
    <xf numFmtId="0" fontId="13" fillId="0" borderId="1" xfId="24" applyNumberFormat="1" applyFont="1" applyFill="1" applyBorder="1" applyAlignment="1">
      <alignment horizontal="center" vertical="center" wrapText="1"/>
    </xf>
    <xf numFmtId="176" fontId="13" fillId="0" borderId="1" xfId="0" applyNumberFormat="1" applyFont="1" applyFill="1" applyBorder="1" applyAlignment="1">
      <alignment horizontal="center"/>
    </xf>
    <xf numFmtId="176" fontId="13" fillId="0" borderId="0" xfId="0" applyNumberFormat="1" applyFont="1" applyFill="1" applyBorder="1" applyAlignment="1">
      <alignment horizontal="center"/>
    </xf>
    <xf numFmtId="169" fontId="252" fillId="0" borderId="1" xfId="16" applyNumberFormat="1" applyFont="1" applyFill="1" applyBorder="1" applyAlignment="1">
      <alignment horizontal="center" vertical="center" wrapText="1"/>
    </xf>
    <xf numFmtId="3" fontId="34" fillId="0" borderId="1" xfId="16" applyNumberFormat="1" applyFont="1" applyFill="1" applyBorder="1" applyAlignment="1">
      <alignment horizontal="right" vertical="center"/>
    </xf>
    <xf numFmtId="0" fontId="12" fillId="0" borderId="1" xfId="0" applyFont="1" applyFill="1" applyBorder="1" applyAlignment="1">
      <alignment horizontal="center"/>
    </xf>
    <xf numFmtId="183" fontId="12" fillId="0" borderId="1" xfId="0" applyNumberFormat="1" applyFont="1" applyFill="1" applyBorder="1"/>
    <xf numFmtId="49" fontId="12" fillId="0" borderId="1" xfId="0" applyNumberFormat="1" applyFont="1" applyFill="1" applyBorder="1"/>
    <xf numFmtId="176" fontId="12" fillId="0" borderId="1" xfId="0" applyNumberFormat="1" applyFont="1" applyFill="1" applyBorder="1" applyAlignment="1">
      <alignment horizontal="center"/>
    </xf>
    <xf numFmtId="0" fontId="12" fillId="0" borderId="0" xfId="0" applyFont="1" applyFill="1" applyBorder="1"/>
    <xf numFmtId="181" fontId="258" fillId="0" borderId="1" xfId="16" applyNumberFormat="1" applyFont="1" applyFill="1" applyBorder="1" applyAlignment="1">
      <alignment vertical="center"/>
    </xf>
    <xf numFmtId="0" fontId="24" fillId="0" borderId="1" xfId="47" applyFont="1" applyFill="1" applyBorder="1" applyAlignment="1">
      <alignment vertical="center" wrapText="1"/>
    </xf>
    <xf numFmtId="183" fontId="13" fillId="0" borderId="1" xfId="0" applyNumberFormat="1" applyFont="1" applyFill="1" applyBorder="1"/>
    <xf numFmtId="49" fontId="13" fillId="0" borderId="1" xfId="0" applyNumberFormat="1" applyFont="1" applyFill="1" applyBorder="1"/>
    <xf numFmtId="0" fontId="19" fillId="0" borderId="1" xfId="0" applyFont="1" applyFill="1" applyBorder="1" applyAlignment="1">
      <alignment horizontal="left" vertical="center" wrapText="1"/>
    </xf>
    <xf numFmtId="0" fontId="26" fillId="0" borderId="1" xfId="2" applyFont="1" applyFill="1" applyBorder="1" applyAlignment="1">
      <alignment horizontal="center" vertical="center" wrapText="1"/>
    </xf>
    <xf numFmtId="1" fontId="240" fillId="0" borderId="1" xfId="7" applyNumberFormat="1" applyFont="1" applyFill="1" applyBorder="1" applyAlignment="1">
      <alignment horizontal="center" vertical="center" wrapText="1"/>
    </xf>
    <xf numFmtId="0" fontId="254" fillId="0" borderId="0" xfId="0" applyNumberFormat="1" applyFont="1" applyFill="1" applyBorder="1" applyAlignment="1"/>
    <xf numFmtId="178" fontId="24" fillId="0" borderId="1" xfId="0" applyNumberFormat="1" applyFont="1" applyFill="1" applyBorder="1" applyAlignment="1">
      <alignment horizontal="center" vertical="center" wrapText="1"/>
    </xf>
    <xf numFmtId="176" fontId="24" fillId="0" borderId="1" xfId="1" applyNumberFormat="1" applyFont="1" applyFill="1" applyBorder="1" applyAlignment="1">
      <alignment horizontal="right" vertical="center" wrapText="1"/>
    </xf>
    <xf numFmtId="0" fontId="24" fillId="0" borderId="1" xfId="8" applyNumberFormat="1" applyFont="1" applyFill="1" applyBorder="1" applyAlignment="1">
      <alignment horizontal="left" vertical="center" wrapText="1"/>
    </xf>
    <xf numFmtId="1" fontId="24" fillId="0" borderId="1" xfId="9" applyNumberFormat="1" applyFont="1" applyFill="1" applyBorder="1" applyAlignment="1">
      <alignment horizontal="center" vertical="center" wrapText="1"/>
    </xf>
    <xf numFmtId="0" fontId="248" fillId="0" borderId="1" xfId="8" applyNumberFormat="1" applyFont="1" applyFill="1" applyBorder="1" applyAlignment="1">
      <alignment horizontal="center" vertical="center" wrapText="1"/>
    </xf>
    <xf numFmtId="0" fontId="257" fillId="0" borderId="0" xfId="0" applyNumberFormat="1" applyFont="1" applyFill="1" applyBorder="1" applyAlignment="1"/>
    <xf numFmtId="0" fontId="12" fillId="0" borderId="1" xfId="8" applyNumberFormat="1" applyFont="1" applyFill="1" applyBorder="1" applyAlignment="1">
      <alignment horizontal="center" vertical="center" wrapText="1"/>
    </xf>
    <xf numFmtId="176" fontId="13" fillId="0" borderId="1" xfId="4305" applyNumberFormat="1" applyFont="1" applyFill="1" applyBorder="1" applyAlignment="1">
      <alignment horizontal="right" vertical="center"/>
    </xf>
    <xf numFmtId="0" fontId="12" fillId="0" borderId="1" xfId="0" applyFont="1" applyFill="1" applyBorder="1" applyAlignment="1">
      <alignment horizontal="center" wrapText="1"/>
    </xf>
    <xf numFmtId="176" fontId="34" fillId="0" borderId="1" xfId="4305" applyNumberFormat="1" applyFont="1" applyFill="1" applyBorder="1" applyAlignment="1">
      <alignment horizontal="right" vertical="center"/>
    </xf>
    <xf numFmtId="0" fontId="19" fillId="0" borderId="0" xfId="0" applyFont="1" applyFill="1" applyAlignment="1">
      <alignment wrapText="1"/>
    </xf>
    <xf numFmtId="167" fontId="22" fillId="0" borderId="1" xfId="14" applyNumberFormat="1" applyFont="1" applyFill="1" applyBorder="1" applyAlignment="1">
      <alignment horizontal="left" vertical="center" wrapText="1"/>
    </xf>
    <xf numFmtId="167" fontId="22" fillId="0" borderId="1" xfId="14" applyNumberFormat="1" applyFont="1" applyFill="1" applyBorder="1" applyAlignment="1">
      <alignment horizontal="center" vertical="center" wrapText="1"/>
    </xf>
    <xf numFmtId="167" fontId="12" fillId="0" borderId="1" xfId="14" quotePrefix="1" applyNumberFormat="1" applyFont="1" applyFill="1" applyBorder="1" applyAlignment="1">
      <alignment horizontal="center" vertical="center" wrapText="1"/>
    </xf>
    <xf numFmtId="3" fontId="13" fillId="0" borderId="1" xfId="7" applyNumberFormat="1" applyFont="1" applyFill="1" applyBorder="1" applyAlignment="1">
      <alignment horizontal="center" vertical="center" wrapText="1"/>
    </xf>
    <xf numFmtId="3" fontId="13" fillId="0" borderId="0" xfId="7" applyNumberFormat="1" applyFont="1" applyFill="1" applyBorder="1" applyAlignment="1">
      <alignment horizontal="center" vertical="center" wrapText="1"/>
    </xf>
    <xf numFmtId="177" fontId="22" fillId="0" borderId="1" xfId="0" applyNumberFormat="1" applyFont="1" applyFill="1" applyBorder="1" applyAlignment="1">
      <alignment horizontal="center" vertical="center" wrapText="1"/>
    </xf>
    <xf numFmtId="167" fontId="19" fillId="0" borderId="1" xfId="17" applyNumberFormat="1" applyFont="1" applyFill="1" applyBorder="1" applyAlignment="1">
      <alignment horizontal="left" vertical="center" wrapText="1"/>
    </xf>
    <xf numFmtId="177" fontId="19" fillId="0" borderId="1" xfId="0" applyNumberFormat="1" applyFont="1" applyFill="1" applyBorder="1" applyAlignment="1">
      <alignment horizontal="center" vertical="center" wrapText="1"/>
    </xf>
    <xf numFmtId="3" fontId="19" fillId="0" borderId="1" xfId="7" applyNumberFormat="1" applyFont="1" applyFill="1" applyBorder="1" applyAlignment="1">
      <alignment horizontal="center" vertical="center" wrapText="1"/>
    </xf>
    <xf numFmtId="3" fontId="19" fillId="0" borderId="0" xfId="7" applyNumberFormat="1" applyFont="1" applyFill="1" applyBorder="1" applyAlignment="1">
      <alignment horizontal="center" vertical="center" wrapText="1"/>
    </xf>
    <xf numFmtId="167" fontId="24" fillId="0" borderId="1" xfId="17" applyNumberFormat="1" applyFont="1" applyFill="1" applyBorder="1" applyAlignment="1">
      <alignment horizontal="left" vertical="center" wrapText="1"/>
    </xf>
    <xf numFmtId="177" fontId="24" fillId="0" borderId="1" xfId="0" applyNumberFormat="1" applyFont="1" applyFill="1" applyBorder="1" applyAlignment="1">
      <alignment horizontal="center" vertical="center" wrapText="1"/>
    </xf>
    <xf numFmtId="1" fontId="248" fillId="0" borderId="1" xfId="7" applyNumberFormat="1" applyFont="1" applyFill="1" applyBorder="1" applyAlignment="1">
      <alignment horizontal="center" vertical="center" wrapText="1"/>
    </xf>
    <xf numFmtId="3" fontId="24" fillId="0" borderId="1" xfId="7" applyNumberFormat="1" applyFont="1" applyFill="1" applyBorder="1" applyAlignment="1">
      <alignment horizontal="center" vertical="center" wrapText="1"/>
    </xf>
    <xf numFmtId="3" fontId="24" fillId="0" borderId="0" xfId="7" applyNumberFormat="1" applyFont="1" applyFill="1" applyBorder="1" applyAlignment="1">
      <alignment horizontal="center" vertical="center" wrapText="1"/>
    </xf>
    <xf numFmtId="0" fontId="24" fillId="0" borderId="0" xfId="0" applyFont="1" applyFill="1" applyBorder="1"/>
    <xf numFmtId="0" fontId="13" fillId="0" borderId="0" xfId="0" applyFont="1" applyFill="1" applyBorder="1" applyAlignment="1">
      <alignment horizontal="center" wrapText="1"/>
    </xf>
    <xf numFmtId="167" fontId="259" fillId="0" borderId="1" xfId="39" applyNumberFormat="1" applyFont="1" applyFill="1" applyBorder="1" applyAlignment="1">
      <alignment horizontal="center" vertical="center" wrapText="1"/>
    </xf>
    <xf numFmtId="1" fontId="12" fillId="0" borderId="1" xfId="80" applyNumberFormat="1" applyFont="1" applyFill="1" applyBorder="1" applyAlignment="1">
      <alignment horizontal="center" vertical="center" wrapText="1"/>
    </xf>
    <xf numFmtId="1" fontId="12" fillId="2" borderId="1" xfId="80" applyNumberFormat="1" applyFont="1" applyFill="1" applyBorder="1" applyAlignment="1">
      <alignment horizontal="center" vertical="center" wrapText="1"/>
    </xf>
    <xf numFmtId="1" fontId="241" fillId="0" borderId="1" xfId="7" quotePrefix="1" applyNumberFormat="1" applyFont="1" applyFill="1" applyBorder="1" applyAlignment="1">
      <alignment horizontal="center" vertical="center" wrapText="1"/>
    </xf>
    <xf numFmtId="1" fontId="240" fillId="0" borderId="1" xfId="80" applyNumberFormat="1" applyFont="1" applyFill="1" applyBorder="1" applyAlignment="1">
      <alignment horizontal="center" vertical="center"/>
    </xf>
    <xf numFmtId="1" fontId="13" fillId="0" borderId="53" xfId="80" applyNumberFormat="1" applyFont="1" applyFill="1" applyBorder="1" applyAlignment="1">
      <alignment horizontal="center" vertical="center"/>
    </xf>
    <xf numFmtId="176" fontId="13" fillId="0" borderId="53" xfId="1" applyNumberFormat="1" applyFont="1" applyFill="1" applyBorder="1" applyAlignment="1">
      <alignment horizontal="right" vertical="center"/>
    </xf>
    <xf numFmtId="0" fontId="13" fillId="0" borderId="53" xfId="5" applyNumberFormat="1" applyFont="1" applyFill="1" applyBorder="1" applyAlignment="1">
      <alignment horizontal="center" vertical="center"/>
    </xf>
    <xf numFmtId="0" fontId="28" fillId="0" borderId="53" xfId="5" applyNumberFormat="1" applyFont="1" applyFill="1" applyBorder="1" applyAlignment="1">
      <alignment horizontal="center" vertical="center"/>
    </xf>
    <xf numFmtId="0" fontId="13" fillId="0" borderId="4" xfId="0" applyFont="1" applyFill="1" applyBorder="1" applyAlignment="1">
      <alignment horizontal="left" vertical="center" wrapText="1"/>
    </xf>
    <xf numFmtId="176" fontId="13" fillId="0" borderId="53" xfId="1" applyNumberFormat="1" applyFont="1" applyFill="1" applyBorder="1" applyAlignment="1">
      <alignment horizontal="center" vertical="center" wrapText="1"/>
    </xf>
    <xf numFmtId="0" fontId="13" fillId="3" borderId="53" xfId="49" applyFont="1" applyFill="1" applyBorder="1" applyAlignment="1">
      <alignment vertical="center" wrapText="1"/>
    </xf>
    <xf numFmtId="0" fontId="13" fillId="0" borderId="53" xfId="49" applyFont="1" applyFill="1" applyBorder="1" applyAlignment="1">
      <alignment horizontal="left" vertical="center" wrapText="1"/>
    </xf>
    <xf numFmtId="0" fontId="13" fillId="0" borderId="53" xfId="0" applyFont="1" applyFill="1" applyBorder="1" applyAlignment="1">
      <alignment horizontal="left" vertical="center" wrapText="1"/>
    </xf>
    <xf numFmtId="0" fontId="13" fillId="0" borderId="53" xfId="49" applyFont="1" applyFill="1" applyBorder="1" applyAlignment="1">
      <alignment vertical="center" wrapText="1"/>
    </xf>
    <xf numFmtId="0" fontId="13" fillId="3" borderId="53" xfId="0" applyFont="1" applyFill="1" applyBorder="1" applyAlignment="1">
      <alignment horizontal="left" vertical="center" wrapText="1"/>
    </xf>
    <xf numFmtId="0" fontId="13" fillId="0" borderId="53" xfId="49" applyFont="1" applyFill="1" applyBorder="1" applyAlignment="1">
      <alignment horizontal="center" vertical="center" wrapText="1"/>
    </xf>
    <xf numFmtId="0" fontId="13" fillId="0" borderId="53" xfId="0" applyNumberFormat="1" applyFont="1" applyFill="1" applyBorder="1" applyAlignment="1">
      <alignment horizontal="left" vertical="center" wrapText="1"/>
    </xf>
    <xf numFmtId="0" fontId="28" fillId="0" borderId="52" xfId="5" applyNumberFormat="1" applyFont="1" applyFill="1" applyBorder="1" applyAlignment="1">
      <alignment horizontal="center" vertical="center"/>
    </xf>
    <xf numFmtId="0" fontId="13" fillId="0" borderId="52" xfId="0" applyNumberFormat="1" applyFont="1" applyFill="1" applyBorder="1" applyAlignment="1">
      <alignment horizontal="left" vertical="center" wrapText="1"/>
    </xf>
    <xf numFmtId="0" fontId="13" fillId="0" borderId="53" xfId="2" applyNumberFormat="1" applyFont="1" applyFill="1" applyBorder="1" applyAlignment="1">
      <alignment horizontal="center" vertical="center" wrapText="1"/>
    </xf>
    <xf numFmtId="1" fontId="13" fillId="0" borderId="53" xfId="7" applyNumberFormat="1" applyFont="1" applyFill="1" applyBorder="1" applyAlignment="1">
      <alignment horizontal="left" vertical="center" wrapText="1"/>
    </xf>
    <xf numFmtId="1" fontId="13" fillId="0" borderId="53" xfId="11" applyNumberFormat="1" applyFont="1" applyFill="1" applyBorder="1" applyAlignment="1">
      <alignment horizontal="left" vertical="center" wrapText="1"/>
    </xf>
    <xf numFmtId="0" fontId="13" fillId="0" borderId="53" xfId="13" applyNumberFormat="1" applyFont="1" applyFill="1" applyBorder="1" applyAlignment="1">
      <alignment horizontal="left" vertical="center" wrapText="1"/>
    </xf>
    <xf numFmtId="1" fontId="13" fillId="0" borderId="53" xfId="10" applyNumberFormat="1" applyFont="1" applyFill="1" applyBorder="1" applyAlignment="1">
      <alignment horizontal="left" vertical="center" wrapText="1"/>
    </xf>
    <xf numFmtId="1" fontId="13" fillId="0" borderId="53" xfId="12" applyNumberFormat="1" applyFont="1" applyFill="1" applyBorder="1" applyAlignment="1">
      <alignment horizontal="left" vertical="center" wrapText="1"/>
    </xf>
    <xf numFmtId="167" fontId="13" fillId="0" borderId="53" xfId="39" applyNumberFormat="1" applyFont="1" applyFill="1" applyBorder="1" applyAlignment="1">
      <alignment horizontal="left" vertical="center" wrapText="1"/>
    </xf>
    <xf numFmtId="3" fontId="13" fillId="0" borderId="53" xfId="30" applyNumberFormat="1" applyFont="1" applyFill="1" applyBorder="1" applyAlignment="1">
      <alignment horizontal="left" vertical="center" wrapText="1"/>
    </xf>
    <xf numFmtId="3" fontId="13" fillId="0" borderId="53" xfId="32" applyNumberFormat="1" applyFont="1" applyFill="1" applyBorder="1" applyAlignment="1">
      <alignment horizontal="left" vertical="center" wrapText="1"/>
    </xf>
    <xf numFmtId="0" fontId="13" fillId="0" borderId="53" xfId="2657" applyFont="1" applyFill="1" applyBorder="1" applyAlignment="1">
      <alignment horizontal="left" vertical="center" wrapText="1"/>
    </xf>
    <xf numFmtId="167" fontId="13" fillId="0" borderId="53" xfId="14" applyNumberFormat="1" applyFont="1" applyFill="1" applyBorder="1" applyAlignment="1">
      <alignment horizontal="left" vertical="center" wrapText="1"/>
    </xf>
    <xf numFmtId="0" fontId="13" fillId="0" borderId="53" xfId="35" applyFont="1" applyFill="1" applyBorder="1" applyAlignment="1">
      <alignment horizontal="left" vertical="center" wrapText="1"/>
    </xf>
    <xf numFmtId="1" fontId="13" fillId="0" borderId="53" xfId="18" applyNumberFormat="1" applyFont="1" applyFill="1" applyBorder="1" applyAlignment="1">
      <alignment horizontal="left" vertical="center" wrapText="1"/>
    </xf>
    <xf numFmtId="167" fontId="13" fillId="0" borderId="53" xfId="39" applyNumberFormat="1" applyFont="1" applyFill="1" applyBorder="1" applyAlignment="1">
      <alignment vertical="center" wrapText="1"/>
    </xf>
    <xf numFmtId="1" fontId="13" fillId="0" borderId="53" xfId="53" applyNumberFormat="1" applyFont="1" applyFill="1" applyBorder="1" applyAlignment="1">
      <alignment vertical="center" wrapText="1"/>
    </xf>
    <xf numFmtId="1" fontId="248" fillId="0" borderId="53" xfId="80" applyNumberFormat="1" applyFont="1" applyFill="1" applyBorder="1" applyAlignment="1">
      <alignment horizontal="center" vertical="center" wrapText="1"/>
    </xf>
    <xf numFmtId="1" fontId="248" fillId="2" borderId="53" xfId="80" applyNumberFormat="1" applyFont="1" applyFill="1" applyBorder="1" applyAlignment="1">
      <alignment horizontal="center" vertical="center" wrapText="1"/>
    </xf>
    <xf numFmtId="1" fontId="248" fillId="0" borderId="53" xfId="80" applyNumberFormat="1" applyFont="1" applyFill="1" applyBorder="1" applyAlignment="1">
      <alignment horizontal="center" vertical="center"/>
    </xf>
    <xf numFmtId="176" fontId="13" fillId="0" borderId="53" xfId="1" applyNumberFormat="1" applyFont="1" applyFill="1" applyBorder="1" applyAlignment="1">
      <alignment horizontal="center" vertical="center"/>
    </xf>
    <xf numFmtId="167" fontId="259" fillId="0" borderId="53" xfId="39" applyNumberFormat="1" applyFont="1" applyFill="1" applyBorder="1" applyAlignment="1">
      <alignment horizontal="center" vertical="center" wrapText="1"/>
    </xf>
    <xf numFmtId="176" fontId="34" fillId="0" borderId="53" xfId="1" applyNumberFormat="1" applyFont="1" applyBorder="1" applyAlignment="1">
      <alignment horizontal="center" vertical="center" wrapText="1"/>
    </xf>
    <xf numFmtId="176" fontId="28" fillId="0" borderId="53" xfId="1" applyNumberFormat="1" applyFont="1" applyBorder="1" applyAlignment="1">
      <alignment horizontal="center" vertical="center" wrapText="1"/>
    </xf>
    <xf numFmtId="176" fontId="238" fillId="0" borderId="53" xfId="1" applyNumberFormat="1" applyFont="1" applyBorder="1" applyAlignment="1">
      <alignment horizontal="center" vertical="center" wrapText="1"/>
    </xf>
    <xf numFmtId="9" fontId="32" fillId="0" borderId="53" xfId="81" applyFont="1" applyFill="1" applyBorder="1" applyAlignment="1">
      <alignment horizontal="left" vertical="center" wrapText="1"/>
    </xf>
    <xf numFmtId="0" fontId="19" fillId="2" borderId="1" xfId="0" applyFont="1" applyFill="1" applyBorder="1" applyAlignment="1">
      <alignment horizontal="left"/>
    </xf>
    <xf numFmtId="176" fontId="13" fillId="0" borderId="53" xfId="1" applyNumberFormat="1" applyFont="1" applyFill="1" applyBorder="1" applyAlignment="1">
      <alignment vertical="center"/>
    </xf>
    <xf numFmtId="176" fontId="19" fillId="0" borderId="0" xfId="1" applyNumberFormat="1" applyFont="1" applyFill="1" applyAlignment="1">
      <alignment horizontal="center"/>
    </xf>
    <xf numFmtId="176" fontId="13" fillId="0" borderId="0" xfId="1" applyNumberFormat="1" applyFont="1" applyFill="1" applyBorder="1" applyAlignment="1">
      <alignment horizontal="center"/>
    </xf>
    <xf numFmtId="176" fontId="32" fillId="0" borderId="0" xfId="1" applyNumberFormat="1" applyFont="1" applyFill="1" applyBorder="1" applyAlignment="1">
      <alignment horizontal="center"/>
    </xf>
    <xf numFmtId="1" fontId="13" fillId="0" borderId="53" xfId="2" applyNumberFormat="1" applyFont="1" applyFill="1" applyBorder="1" applyAlignment="1">
      <alignment horizontal="center" vertical="center" wrapText="1"/>
    </xf>
    <xf numFmtId="0" fontId="13" fillId="0" borderId="53" xfId="82" applyFont="1" applyFill="1" applyBorder="1" applyAlignment="1">
      <alignment horizontal="center" vertical="center"/>
    </xf>
    <xf numFmtId="0" fontId="28" fillId="0" borderId="53" xfId="4302" applyFont="1" applyBorder="1"/>
    <xf numFmtId="0" fontId="28" fillId="0" borderId="0" xfId="4302" applyFont="1" applyAlignment="1">
      <alignment horizontal="left" vertical="center"/>
    </xf>
    <xf numFmtId="0" fontId="19" fillId="0" borderId="53" xfId="82" applyFont="1" applyFill="1" applyBorder="1" applyAlignment="1">
      <alignment vertical="center"/>
    </xf>
    <xf numFmtId="0" fontId="13" fillId="0" borderId="53" xfId="82" applyFont="1" applyFill="1" applyBorder="1" applyAlignment="1">
      <alignment horizontal="left" vertical="center" wrapText="1"/>
    </xf>
    <xf numFmtId="0" fontId="32" fillId="0" borderId="53" xfId="82" applyFont="1" applyFill="1" applyBorder="1" applyAlignment="1">
      <alignment horizontal="center" vertical="center"/>
    </xf>
    <xf numFmtId="0" fontId="32" fillId="0" borderId="53" xfId="82" applyFont="1" applyFill="1" applyBorder="1" applyAlignment="1">
      <alignment horizontal="left" vertical="center" wrapText="1"/>
    </xf>
    <xf numFmtId="0" fontId="19" fillId="0" borderId="53" xfId="82" applyFont="1" applyFill="1" applyBorder="1" applyAlignment="1">
      <alignment horizontal="center" vertical="center"/>
    </xf>
    <xf numFmtId="0" fontId="19" fillId="0" borderId="53" xfId="82" applyFont="1" applyFill="1" applyBorder="1" applyAlignment="1">
      <alignment horizontal="left" vertical="center" wrapText="1"/>
    </xf>
    <xf numFmtId="1" fontId="13" fillId="0" borderId="53" xfId="80" applyNumberFormat="1" applyFont="1" applyFill="1" applyBorder="1" applyAlignment="1">
      <alignment vertical="center" wrapText="1"/>
    </xf>
    <xf numFmtId="0" fontId="19" fillId="0" borderId="53" xfId="82" applyFont="1" applyFill="1" applyBorder="1" applyAlignment="1">
      <alignment horizontal="left" vertical="center"/>
    </xf>
    <xf numFmtId="169" fontId="19" fillId="0" borderId="53" xfId="1" applyFont="1" applyFill="1" applyBorder="1" applyAlignment="1">
      <alignment horizontal="right" vertical="center" wrapText="1"/>
    </xf>
    <xf numFmtId="167" fontId="13" fillId="0" borderId="53" xfId="1" applyNumberFormat="1" applyFont="1" applyFill="1" applyBorder="1" applyAlignment="1">
      <alignment horizontal="center" vertical="center" wrapText="1"/>
    </xf>
    <xf numFmtId="167" fontId="32" fillId="0" borderId="53" xfId="1" applyNumberFormat="1" applyFont="1" applyFill="1" applyBorder="1" applyAlignment="1">
      <alignment horizontal="center" vertical="center" wrapText="1"/>
    </xf>
    <xf numFmtId="167" fontId="13" fillId="0" borderId="53" xfId="1" applyNumberFormat="1" applyFont="1" applyFill="1" applyBorder="1" applyAlignment="1">
      <alignment horizontal="center" vertical="center"/>
    </xf>
    <xf numFmtId="167" fontId="19" fillId="0" borderId="53" xfId="1" applyNumberFormat="1" applyFont="1" applyFill="1" applyBorder="1" applyAlignment="1">
      <alignment horizontal="center" vertical="center" wrapText="1"/>
    </xf>
    <xf numFmtId="0" fontId="19" fillId="0" borderId="0" xfId="82" applyFont="1" applyFill="1" applyAlignment="1">
      <alignment horizontal="left" vertical="center"/>
    </xf>
    <xf numFmtId="0" fontId="13" fillId="0" borderId="0"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0" xfId="0" applyFont="1" applyFill="1" applyBorder="1" applyAlignment="1">
      <alignment horizontal="left" vertical="center"/>
    </xf>
    <xf numFmtId="49" fontId="32" fillId="0" borderId="0" xfId="0" applyNumberFormat="1" applyFont="1" applyFill="1" applyBorder="1" applyAlignment="1">
      <alignment vertical="center"/>
    </xf>
    <xf numFmtId="0" fontId="32" fillId="0" borderId="0" xfId="0" applyFont="1" applyFill="1" applyBorder="1" applyAlignment="1">
      <alignment vertical="center"/>
    </xf>
    <xf numFmtId="0" fontId="32" fillId="0" borderId="0" xfId="0" applyFont="1" applyFill="1" applyBorder="1" applyAlignment="1">
      <alignment horizontal="right" vertical="center"/>
    </xf>
    <xf numFmtId="0" fontId="13" fillId="0" borderId="0" xfId="82" applyFont="1" applyFill="1" applyAlignment="1">
      <alignment horizontal="center" vertical="center"/>
    </xf>
    <xf numFmtId="0" fontId="13" fillId="0" borderId="0" xfId="82" applyFont="1" applyFill="1" applyAlignment="1">
      <alignment horizontal="left" vertical="center"/>
    </xf>
    <xf numFmtId="176" fontId="13" fillId="0" borderId="0" xfId="1" applyNumberFormat="1" applyFont="1" applyFill="1" applyAlignment="1">
      <alignment horizontal="center" vertical="center"/>
    </xf>
    <xf numFmtId="176" fontId="13" fillId="0" borderId="0" xfId="1" applyNumberFormat="1" applyFont="1" applyFill="1" applyAlignment="1">
      <alignment horizontal="right" vertical="center"/>
    </xf>
    <xf numFmtId="3" fontId="19" fillId="0" borderId="1" xfId="3" applyNumberFormat="1" applyFont="1" applyFill="1" applyBorder="1" applyAlignment="1">
      <alignment horizontal="right" vertical="center"/>
    </xf>
    <xf numFmtId="176" fontId="13" fillId="0" borderId="1" xfId="3" applyNumberFormat="1" applyFont="1" applyFill="1" applyBorder="1" applyAlignment="1">
      <alignment horizontal="left" vertical="center"/>
    </xf>
    <xf numFmtId="176" fontId="19" fillId="0" borderId="1" xfId="3" quotePrefix="1" applyNumberFormat="1" applyFont="1" applyFill="1" applyBorder="1" applyAlignment="1">
      <alignment vertical="center" wrapText="1"/>
    </xf>
    <xf numFmtId="3" fontId="19" fillId="0" borderId="1" xfId="3" applyNumberFormat="1" applyFont="1" applyFill="1" applyBorder="1" applyAlignment="1">
      <alignment horizontal="center" vertical="center"/>
    </xf>
    <xf numFmtId="0" fontId="19" fillId="0" borderId="1" xfId="47" applyFont="1" applyFill="1" applyBorder="1" applyAlignment="1">
      <alignment horizontal="center" vertical="center" wrapText="1"/>
    </xf>
    <xf numFmtId="0" fontId="19" fillId="0" borderId="1" xfId="47" applyFont="1" applyFill="1" applyBorder="1" applyAlignment="1">
      <alignment horizontal="left" vertical="center" wrapText="1"/>
    </xf>
    <xf numFmtId="181" fontId="19" fillId="0" borderId="1" xfId="16" applyNumberFormat="1" applyFont="1" applyFill="1" applyBorder="1" applyAlignment="1">
      <alignment horizontal="center" vertical="center" wrapText="1"/>
    </xf>
    <xf numFmtId="181" fontId="19" fillId="0" borderId="53" xfId="16" applyNumberFormat="1" applyFont="1" applyFill="1" applyBorder="1" applyAlignment="1">
      <alignment horizontal="center" vertical="center" wrapText="1"/>
    </xf>
    <xf numFmtId="176" fontId="12" fillId="0" borderId="0" xfId="1" applyNumberFormat="1" applyFont="1" applyFill="1" applyBorder="1" applyAlignment="1">
      <alignment vertical="center"/>
    </xf>
    <xf numFmtId="0" fontId="19" fillId="57" borderId="53" xfId="82" applyFont="1" applyFill="1" applyBorder="1" applyAlignment="1">
      <alignment horizontal="left" vertical="center" wrapText="1"/>
    </xf>
    <xf numFmtId="0" fontId="27" fillId="57" borderId="1" xfId="4302" applyFont="1" applyFill="1" applyBorder="1" applyAlignment="1">
      <alignment horizontal="center" vertical="center" wrapText="1"/>
    </xf>
    <xf numFmtId="0" fontId="27" fillId="57" borderId="1" xfId="4302" applyFont="1" applyFill="1" applyBorder="1" applyAlignment="1">
      <alignment vertical="center" wrapText="1"/>
    </xf>
    <xf numFmtId="176" fontId="27" fillId="57" borderId="1" xfId="1" applyNumberFormat="1" applyFont="1" applyFill="1" applyBorder="1" applyAlignment="1">
      <alignment horizontal="center" vertical="center" wrapText="1"/>
    </xf>
    <xf numFmtId="0" fontId="28" fillId="57" borderId="53" xfId="4302" applyFont="1" applyFill="1" applyBorder="1"/>
    <xf numFmtId="0" fontId="19" fillId="57" borderId="53" xfId="82" applyFont="1" applyFill="1" applyBorder="1" applyAlignment="1">
      <alignment horizontal="center" vertical="center"/>
    </xf>
    <xf numFmtId="167" fontId="19" fillId="57" borderId="53" xfId="1" applyNumberFormat="1" applyFont="1" applyFill="1" applyBorder="1" applyAlignment="1">
      <alignment horizontal="center" vertical="center" wrapText="1"/>
    </xf>
    <xf numFmtId="0" fontId="260" fillId="0" borderId="0" xfId="0" applyFont="1" applyFill="1" applyBorder="1" applyAlignment="1">
      <alignment horizontal="center" vertical="center"/>
    </xf>
    <xf numFmtId="0" fontId="260" fillId="0" borderId="0" xfId="0" applyFont="1" applyFill="1" applyBorder="1" applyAlignment="1">
      <alignment horizontal="right" vertical="center"/>
    </xf>
    <xf numFmtId="176" fontId="260" fillId="0" borderId="0" xfId="1" applyNumberFormat="1" applyFont="1" applyFill="1" applyBorder="1" applyAlignment="1">
      <alignment vertical="center"/>
    </xf>
    <xf numFmtId="230" fontId="260" fillId="0" borderId="0" xfId="81" applyNumberFormat="1" applyFont="1" applyFill="1" applyBorder="1" applyAlignment="1">
      <alignment horizontal="center" vertical="center"/>
    </xf>
    <xf numFmtId="9" fontId="260" fillId="0" borderId="0" xfId="81" applyFont="1" applyFill="1" applyBorder="1" applyAlignment="1">
      <alignment horizontal="center" vertical="center"/>
    </xf>
    <xf numFmtId="176" fontId="260" fillId="0" borderId="0" xfId="1" applyNumberFormat="1" applyFont="1" applyFill="1" applyBorder="1" applyAlignment="1">
      <alignment horizontal="right" vertical="center" wrapText="1"/>
    </xf>
    <xf numFmtId="0" fontId="260" fillId="0" borderId="0" xfId="0" applyFont="1" applyFill="1" applyBorder="1" applyAlignment="1">
      <alignment vertical="center"/>
    </xf>
    <xf numFmtId="0" fontId="12" fillId="0" borderId="0" xfId="0" applyFont="1" applyFill="1" applyBorder="1" applyAlignment="1">
      <alignment horizontal="center" vertical="center"/>
    </xf>
    <xf numFmtId="176" fontId="12" fillId="0" borderId="0" xfId="1" applyNumberFormat="1" applyFont="1" applyFill="1" applyBorder="1" applyAlignment="1">
      <alignment horizontal="right" vertical="center"/>
    </xf>
    <xf numFmtId="0" fontId="12" fillId="0" borderId="0" xfId="0" applyFont="1" applyFill="1" applyBorder="1" applyAlignment="1">
      <alignment vertical="center"/>
    </xf>
    <xf numFmtId="230" fontId="12" fillId="0" borderId="0" xfId="81" applyNumberFormat="1" applyFont="1" applyFill="1" applyBorder="1" applyAlignment="1">
      <alignment horizontal="center" vertical="center"/>
    </xf>
    <xf numFmtId="9" fontId="12" fillId="0" borderId="0" xfId="81" applyFont="1" applyFill="1" applyBorder="1" applyAlignment="1">
      <alignment horizontal="center" vertical="center"/>
    </xf>
    <xf numFmtId="176" fontId="12" fillId="0" borderId="0" xfId="1" applyNumberFormat="1" applyFont="1" applyFill="1" applyBorder="1" applyAlignment="1">
      <alignment horizontal="center" vertical="center"/>
    </xf>
    <xf numFmtId="176" fontId="12" fillId="0" borderId="0" xfId="0" applyNumberFormat="1" applyFont="1" applyFill="1" applyBorder="1" applyAlignment="1">
      <alignment horizontal="right" vertical="center"/>
    </xf>
    <xf numFmtId="176" fontId="240" fillId="0" borderId="0" xfId="0" applyNumberFormat="1" applyFont="1" applyFill="1" applyBorder="1" applyAlignment="1">
      <alignment horizontal="right" vertical="center"/>
    </xf>
    <xf numFmtId="0" fontId="12" fillId="0" borderId="0" xfId="0" applyFont="1" applyFill="1" applyBorder="1" applyAlignment="1">
      <alignment horizontal="right" vertical="center"/>
    </xf>
    <xf numFmtId="0" fontId="261" fillId="0" borderId="0" xfId="0" applyFont="1" applyFill="1" applyBorder="1" applyAlignment="1">
      <alignment horizontal="center" vertical="center"/>
    </xf>
    <xf numFmtId="0" fontId="261" fillId="0" borderId="0" xfId="0" applyFont="1" applyFill="1" applyBorder="1" applyAlignment="1">
      <alignment horizontal="right" vertical="center"/>
    </xf>
    <xf numFmtId="176" fontId="261" fillId="0" borderId="0" xfId="1" applyNumberFormat="1" applyFont="1" applyFill="1" applyBorder="1" applyAlignment="1">
      <alignment horizontal="center" vertical="center"/>
    </xf>
    <xf numFmtId="230" fontId="261" fillId="0" borderId="0" xfId="81" applyNumberFormat="1" applyFont="1" applyFill="1" applyBorder="1" applyAlignment="1">
      <alignment horizontal="center" vertical="center"/>
    </xf>
    <xf numFmtId="9" fontId="261" fillId="0" borderId="0" xfId="81" applyFont="1" applyFill="1" applyBorder="1" applyAlignment="1">
      <alignment horizontal="center" vertical="center"/>
    </xf>
    <xf numFmtId="176" fontId="260" fillId="0" borderId="0" xfId="1" applyNumberFormat="1" applyFont="1" applyFill="1" applyBorder="1" applyAlignment="1">
      <alignment horizontal="center" vertical="center"/>
    </xf>
    <xf numFmtId="176" fontId="261" fillId="0" borderId="0" xfId="1" applyNumberFormat="1" applyFont="1" applyFill="1" applyBorder="1" applyAlignment="1">
      <alignment vertical="center"/>
    </xf>
    <xf numFmtId="176" fontId="261" fillId="0" borderId="0" xfId="0" applyNumberFormat="1" applyFont="1" applyFill="1" applyBorder="1" applyAlignment="1">
      <alignment horizontal="right" vertical="center"/>
    </xf>
    <xf numFmtId="0" fontId="261" fillId="0" borderId="0" xfId="0" applyFont="1" applyFill="1" applyBorder="1" applyAlignment="1">
      <alignment vertical="center"/>
    </xf>
    <xf numFmtId="0" fontId="248" fillId="0" borderId="0" xfId="0" applyFont="1" applyFill="1" applyBorder="1" applyAlignment="1">
      <alignment horizontal="center" vertical="center"/>
    </xf>
    <xf numFmtId="176" fontId="262" fillId="0" borderId="0" xfId="0" applyNumberFormat="1" applyFont="1" applyFill="1" applyBorder="1" applyAlignment="1">
      <alignment horizontal="right" vertical="center"/>
    </xf>
    <xf numFmtId="0" fontId="263" fillId="0" borderId="0" xfId="0" applyFont="1" applyFill="1" applyBorder="1" applyAlignment="1">
      <alignment vertical="center"/>
    </xf>
    <xf numFmtId="176" fontId="262" fillId="0" borderId="0" xfId="1" applyNumberFormat="1" applyFont="1" applyFill="1" applyBorder="1" applyAlignment="1">
      <alignment horizontal="center" vertical="center"/>
    </xf>
    <xf numFmtId="230" fontId="262" fillId="0" borderId="0" xfId="81" applyNumberFormat="1" applyFont="1" applyFill="1" applyBorder="1" applyAlignment="1">
      <alignment horizontal="center" vertical="center"/>
    </xf>
    <xf numFmtId="9" fontId="262" fillId="0" borderId="0" xfId="81" applyFont="1" applyFill="1" applyBorder="1" applyAlignment="1">
      <alignment horizontal="center" vertical="center"/>
    </xf>
    <xf numFmtId="176" fontId="263" fillId="0" borderId="0" xfId="1" applyNumberFormat="1" applyFont="1" applyFill="1" applyBorder="1" applyAlignment="1">
      <alignment horizontal="center" vertical="center"/>
    </xf>
    <xf numFmtId="176" fontId="262" fillId="0" borderId="0" xfId="1" applyNumberFormat="1" applyFont="1" applyFill="1" applyBorder="1" applyAlignment="1">
      <alignment vertical="center"/>
    </xf>
    <xf numFmtId="0" fontId="248" fillId="0" borderId="0" xfId="0" applyFont="1" applyFill="1" applyBorder="1" applyAlignment="1">
      <alignment vertical="center"/>
    </xf>
    <xf numFmtId="0" fontId="252" fillId="0" borderId="0" xfId="0" applyFont="1" applyFill="1" applyBorder="1" applyAlignment="1">
      <alignment vertical="center"/>
    </xf>
    <xf numFmtId="0" fontId="240" fillId="0" borderId="0" xfId="0" applyFont="1" applyFill="1" applyBorder="1" applyAlignment="1">
      <alignment horizontal="center" vertical="center"/>
    </xf>
    <xf numFmtId="0" fontId="240" fillId="0" borderId="0" xfId="0" applyFont="1" applyFill="1" applyBorder="1" applyAlignment="1">
      <alignment horizontal="right" vertical="center"/>
    </xf>
    <xf numFmtId="176" fontId="240" fillId="0" borderId="0" xfId="1" applyNumberFormat="1" applyFont="1" applyFill="1" applyBorder="1" applyAlignment="1">
      <alignment horizontal="center" vertical="center"/>
    </xf>
    <xf numFmtId="230" fontId="240" fillId="0" borderId="0" xfId="81" applyNumberFormat="1" applyFont="1" applyFill="1" applyBorder="1" applyAlignment="1">
      <alignment horizontal="center" vertical="center"/>
    </xf>
    <xf numFmtId="9" fontId="240" fillId="0" borderId="0" xfId="81" applyFont="1" applyFill="1" applyBorder="1" applyAlignment="1">
      <alignment horizontal="center" vertical="center"/>
    </xf>
    <xf numFmtId="176" fontId="240" fillId="0" borderId="0" xfId="1" applyNumberFormat="1" applyFont="1" applyFill="1" applyBorder="1" applyAlignment="1">
      <alignment vertical="center"/>
    </xf>
    <xf numFmtId="176" fontId="240" fillId="57" borderId="0" xfId="1" applyNumberFormat="1" applyFont="1" applyFill="1" applyBorder="1" applyAlignment="1">
      <alignment vertical="center"/>
    </xf>
    <xf numFmtId="0" fontId="240" fillId="0" borderId="0" xfId="0" applyFont="1" applyFill="1" applyBorder="1" applyAlignment="1">
      <alignment vertical="center"/>
    </xf>
    <xf numFmtId="0" fontId="12" fillId="0" borderId="0" xfId="0" applyFont="1" applyFill="1" applyAlignment="1">
      <alignment horizontal="center" vertical="center"/>
    </xf>
    <xf numFmtId="0" fontId="12" fillId="0" borderId="0" xfId="0" applyFont="1" applyFill="1" applyAlignment="1">
      <alignment horizontal="left" vertical="center"/>
    </xf>
    <xf numFmtId="0" fontId="12" fillId="0" borderId="0" xfId="0" applyFont="1" applyFill="1" applyAlignment="1">
      <alignment horizontal="right" vertical="center"/>
    </xf>
    <xf numFmtId="176" fontId="12" fillId="0" borderId="0" xfId="1" applyNumberFormat="1" applyFont="1" applyFill="1" applyAlignment="1">
      <alignment horizontal="center" vertical="center"/>
    </xf>
    <xf numFmtId="230" fontId="12" fillId="0" borderId="0" xfId="81" applyNumberFormat="1" applyFont="1" applyFill="1" applyAlignment="1">
      <alignment horizontal="center" vertical="center"/>
    </xf>
    <xf numFmtId="176" fontId="12" fillId="0" borderId="0" xfId="1" applyNumberFormat="1" applyFont="1" applyFill="1" applyAlignment="1">
      <alignment vertical="center"/>
    </xf>
    <xf numFmtId="9" fontId="12" fillId="0" borderId="0" xfId="81" applyFont="1" applyFill="1" applyAlignment="1">
      <alignment horizontal="center" vertical="center"/>
    </xf>
    <xf numFmtId="9" fontId="12" fillId="0" borderId="0" xfId="81" applyFont="1" applyFill="1" applyAlignment="1">
      <alignment vertical="center"/>
    </xf>
    <xf numFmtId="9" fontId="12" fillId="0" borderId="0" xfId="0" applyNumberFormat="1" applyFont="1" applyFill="1" applyAlignment="1">
      <alignment horizontal="right" vertical="center"/>
    </xf>
    <xf numFmtId="0" fontId="12" fillId="0" borderId="0" xfId="0" applyFont="1" applyFill="1" applyAlignment="1">
      <alignment vertical="center"/>
    </xf>
    <xf numFmtId="0" fontId="240" fillId="0" borderId="53" xfId="0" applyFont="1" applyFill="1" applyBorder="1" applyAlignment="1">
      <alignment horizontal="center" vertical="center" wrapText="1"/>
    </xf>
    <xf numFmtId="0" fontId="240" fillId="0" borderId="53" xfId="0" applyFont="1" applyFill="1" applyBorder="1" applyAlignment="1">
      <alignment horizontal="left" vertical="center" wrapText="1"/>
    </xf>
    <xf numFmtId="0" fontId="240" fillId="0" borderId="53" xfId="0" applyFont="1" applyFill="1" applyBorder="1" applyAlignment="1">
      <alignment horizontal="right" vertical="center" wrapText="1"/>
    </xf>
    <xf numFmtId="176" fontId="240" fillId="0" borderId="53" xfId="1" applyNumberFormat="1" applyFont="1" applyFill="1" applyBorder="1" applyAlignment="1">
      <alignment horizontal="right" vertical="center" wrapText="1"/>
    </xf>
    <xf numFmtId="230" fontId="240" fillId="0" borderId="53" xfId="81" applyNumberFormat="1" applyFont="1" applyFill="1" applyBorder="1" applyAlignment="1">
      <alignment horizontal="center" vertical="center" wrapText="1"/>
    </xf>
    <xf numFmtId="176" fontId="12" fillId="0" borderId="53" xfId="1" applyNumberFormat="1" applyFont="1" applyFill="1" applyBorder="1" applyAlignment="1">
      <alignment horizontal="right" vertical="center" wrapText="1"/>
    </xf>
    <xf numFmtId="9" fontId="240" fillId="0" borderId="53" xfId="81" applyFont="1" applyFill="1" applyBorder="1" applyAlignment="1">
      <alignment horizontal="center" vertical="center" wrapText="1"/>
    </xf>
    <xf numFmtId="37" fontId="240" fillId="0" borderId="53" xfId="0" applyNumberFormat="1" applyFont="1" applyFill="1" applyBorder="1" applyAlignment="1">
      <alignment horizontal="right" vertical="center" wrapText="1"/>
    </xf>
    <xf numFmtId="176" fontId="240" fillId="0" borderId="53" xfId="1" applyNumberFormat="1" applyFont="1" applyFill="1" applyBorder="1" applyAlignment="1">
      <alignment horizontal="center" vertical="center" wrapText="1"/>
    </xf>
    <xf numFmtId="176" fontId="240" fillId="0" borderId="53" xfId="0" applyNumberFormat="1" applyFont="1" applyFill="1" applyBorder="1" applyAlignment="1">
      <alignment horizontal="right" vertical="center" wrapText="1"/>
    </xf>
    <xf numFmtId="0" fontId="240" fillId="0" borderId="0" xfId="0" applyFont="1" applyFill="1" applyAlignment="1">
      <alignment horizontal="center" vertical="center" wrapText="1"/>
    </xf>
    <xf numFmtId="176" fontId="240" fillId="0" borderId="53" xfId="1" applyNumberFormat="1" applyFont="1" applyFill="1" applyBorder="1" applyAlignment="1">
      <alignment horizontal="right" vertical="center"/>
    </xf>
    <xf numFmtId="176" fontId="240" fillId="0" borderId="53" xfId="1" applyNumberFormat="1" applyFont="1" applyFill="1" applyBorder="1" applyAlignment="1">
      <alignment vertical="center" wrapText="1"/>
    </xf>
    <xf numFmtId="0" fontId="240" fillId="0" borderId="0" xfId="0" applyFont="1" applyFill="1" applyAlignment="1">
      <alignment vertical="center"/>
    </xf>
    <xf numFmtId="1" fontId="12" fillId="0" borderId="53" xfId="4312" applyNumberFormat="1" applyFont="1" applyFill="1" applyBorder="1" applyAlignment="1">
      <alignment horizontal="center" vertical="center" wrapText="1"/>
    </xf>
    <xf numFmtId="0" fontId="12" fillId="0" borderId="53" xfId="4312" applyFont="1" applyFill="1" applyBorder="1" applyAlignment="1">
      <alignment horizontal="left" vertical="center" wrapText="1"/>
    </xf>
    <xf numFmtId="176" fontId="12" fillId="0" borderId="53" xfId="1" applyNumberFormat="1" applyFont="1" applyFill="1" applyBorder="1" applyAlignment="1">
      <alignment horizontal="right" vertical="center"/>
    </xf>
    <xf numFmtId="176" fontId="12" fillId="0" borderId="53" xfId="1" applyNumberFormat="1" applyFont="1" applyFill="1" applyBorder="1" applyAlignment="1">
      <alignment horizontal="center" vertical="center" wrapText="1"/>
    </xf>
    <xf numFmtId="230" fontId="12" fillId="0" borderId="53" xfId="81" applyNumberFormat="1" applyFont="1" applyFill="1" applyBorder="1" applyAlignment="1">
      <alignment horizontal="center" vertical="center"/>
    </xf>
    <xf numFmtId="176" fontId="12" fillId="0" borderId="53" xfId="1" applyNumberFormat="1" applyFont="1" applyFill="1" applyBorder="1" applyAlignment="1">
      <alignment vertical="center" wrapText="1"/>
    </xf>
    <xf numFmtId="9" fontId="12" fillId="0" borderId="53" xfId="81" applyFont="1" applyFill="1" applyBorder="1" applyAlignment="1">
      <alignment horizontal="center" vertical="center" wrapText="1"/>
    </xf>
    <xf numFmtId="9" fontId="12" fillId="0" borderId="53" xfId="81" applyFont="1" applyFill="1" applyBorder="1" applyAlignment="1">
      <alignment horizontal="center" vertical="center"/>
    </xf>
    <xf numFmtId="176" fontId="12" fillId="0" borderId="53" xfId="1" applyNumberFormat="1" applyFont="1" applyFill="1" applyBorder="1" applyAlignment="1">
      <alignment vertical="center"/>
    </xf>
    <xf numFmtId="176" fontId="12" fillId="0" borderId="53" xfId="1" applyNumberFormat="1" applyFont="1" applyFill="1" applyBorder="1" applyAlignment="1">
      <alignment horizontal="center" vertical="center"/>
    </xf>
    <xf numFmtId="0" fontId="12" fillId="0" borderId="53" xfId="0" applyFont="1" applyFill="1" applyBorder="1" applyAlignment="1">
      <alignment horizontal="center" vertical="center" wrapText="1"/>
    </xf>
    <xf numFmtId="0" fontId="12" fillId="0" borderId="53" xfId="0" applyFont="1" applyFill="1" applyBorder="1" applyAlignment="1">
      <alignment horizontal="left" vertical="center" wrapText="1"/>
    </xf>
    <xf numFmtId="0" fontId="248" fillId="0" borderId="53" xfId="0" applyFont="1" applyFill="1" applyBorder="1" applyAlignment="1">
      <alignment horizontal="center" vertical="center" wrapText="1"/>
    </xf>
    <xf numFmtId="0" fontId="248" fillId="0" borderId="53" xfId="0" applyFont="1" applyFill="1" applyBorder="1" applyAlignment="1">
      <alignment horizontal="left" vertical="center" wrapText="1"/>
    </xf>
    <xf numFmtId="176" fontId="248" fillId="0" borderId="53" xfId="1" applyNumberFormat="1" applyFont="1" applyFill="1" applyBorder="1" applyAlignment="1">
      <alignment horizontal="center" vertical="center" wrapText="1"/>
    </xf>
    <xf numFmtId="230" fontId="248" fillId="0" borderId="53" xfId="81" applyNumberFormat="1" applyFont="1" applyFill="1" applyBorder="1" applyAlignment="1">
      <alignment horizontal="center" vertical="center"/>
    </xf>
    <xf numFmtId="176" fontId="248" fillId="0" borderId="53" xfId="1" applyNumberFormat="1" applyFont="1" applyFill="1" applyBorder="1" applyAlignment="1">
      <alignment vertical="center" wrapText="1"/>
    </xf>
    <xf numFmtId="9" fontId="248" fillId="0" borderId="53" xfId="81" applyFont="1" applyFill="1" applyBorder="1" applyAlignment="1">
      <alignment horizontal="center" vertical="center" wrapText="1"/>
    </xf>
    <xf numFmtId="9" fontId="248" fillId="0" borderId="53" xfId="81" applyFont="1" applyFill="1" applyBorder="1" applyAlignment="1">
      <alignment horizontal="center" vertical="center"/>
    </xf>
    <xf numFmtId="176" fontId="248" fillId="0" borderId="53" xfId="1" applyNumberFormat="1" applyFont="1" applyFill="1" applyBorder="1" applyAlignment="1">
      <alignment horizontal="right" vertical="center"/>
    </xf>
    <xf numFmtId="0" fontId="248" fillId="0" borderId="0" xfId="0" applyFont="1" applyFill="1" applyAlignment="1">
      <alignment vertical="center"/>
    </xf>
    <xf numFmtId="9" fontId="240" fillId="0" borderId="53" xfId="81" applyFont="1" applyFill="1" applyBorder="1" applyAlignment="1">
      <alignment horizontal="center" vertical="center"/>
    </xf>
    <xf numFmtId="230" fontId="12" fillId="0" borderId="53" xfId="81" applyNumberFormat="1" applyFont="1" applyFill="1" applyBorder="1" applyAlignment="1">
      <alignment horizontal="center" vertical="center" wrapText="1"/>
    </xf>
    <xf numFmtId="176" fontId="19" fillId="0" borderId="53" xfId="1" applyNumberFormat="1" applyFont="1" applyFill="1" applyBorder="1" applyAlignment="1">
      <alignment vertical="center"/>
    </xf>
    <xf numFmtId="176" fontId="13" fillId="0" borderId="53" xfId="3" applyNumberFormat="1" applyFont="1" applyFill="1" applyBorder="1" applyAlignment="1">
      <alignment horizontal="left" vertical="center"/>
    </xf>
    <xf numFmtId="0" fontId="19" fillId="0" borderId="0" xfId="0" applyFont="1" applyFill="1" applyAlignment="1">
      <alignment vertical="center"/>
    </xf>
    <xf numFmtId="167" fontId="13" fillId="0" borderId="53" xfId="56" applyNumberFormat="1" applyFont="1" applyFill="1" applyBorder="1" applyAlignment="1">
      <alignment vertical="center" wrapText="1"/>
    </xf>
    <xf numFmtId="0" fontId="13" fillId="0" borderId="53" xfId="47" applyFont="1" applyFill="1" applyBorder="1" applyAlignment="1">
      <alignment vertical="center" wrapText="1"/>
    </xf>
    <xf numFmtId="0" fontId="13" fillId="0" borderId="53" xfId="2" applyFont="1" applyFill="1" applyBorder="1" applyAlignment="1">
      <alignment horizontal="left" vertical="center" wrapText="1"/>
    </xf>
    <xf numFmtId="0" fontId="19" fillId="0" borderId="0" xfId="47" applyFont="1" applyFill="1" applyAlignment="1">
      <alignment vertical="center" wrapText="1"/>
    </xf>
    <xf numFmtId="0" fontId="13" fillId="0" borderId="0" xfId="0" applyFont="1" applyFill="1" applyBorder="1" applyAlignment="1">
      <alignment horizontal="left" wrapText="1"/>
    </xf>
    <xf numFmtId="0" fontId="32" fillId="0" borderId="0" xfId="0" applyFont="1" applyFill="1" applyBorder="1" applyAlignment="1">
      <alignment horizontal="left" wrapText="1"/>
    </xf>
    <xf numFmtId="0" fontId="13" fillId="0" borderId="0" xfId="47" applyFont="1" applyFill="1" applyAlignment="1">
      <alignment vertical="center" wrapText="1"/>
    </xf>
    <xf numFmtId="0" fontId="19" fillId="0" borderId="5" xfId="0" applyFont="1" applyFill="1" applyBorder="1" applyAlignment="1">
      <alignment horizontal="left" vertical="center" wrapText="1"/>
    </xf>
    <xf numFmtId="0" fontId="19" fillId="0" borderId="1" xfId="0" applyFont="1" applyFill="1" applyBorder="1" applyAlignment="1">
      <alignment horizontal="right" vertical="center" wrapText="1"/>
    </xf>
    <xf numFmtId="0" fontId="13" fillId="0" borderId="0" xfId="0" applyFont="1" applyFill="1" applyAlignment="1">
      <alignment vertical="center"/>
    </xf>
    <xf numFmtId="0" fontId="19" fillId="0" borderId="53" xfId="0" applyFont="1" applyFill="1" applyBorder="1" applyAlignment="1">
      <alignment horizontal="center" vertical="center"/>
    </xf>
    <xf numFmtId="0" fontId="19" fillId="0" borderId="53" xfId="0" applyFont="1" applyFill="1" applyBorder="1" applyAlignment="1">
      <alignment horizontal="left" vertical="center" wrapText="1"/>
    </xf>
    <xf numFmtId="0" fontId="19" fillId="57" borderId="53" xfId="0" applyFont="1" applyFill="1" applyBorder="1" applyAlignment="1">
      <alignment horizontal="center" vertical="center"/>
    </xf>
    <xf numFmtId="0" fontId="13" fillId="57" borderId="53" xfId="0" applyFont="1" applyFill="1" applyBorder="1" applyAlignment="1">
      <alignment horizontal="center" vertical="center"/>
    </xf>
    <xf numFmtId="0" fontId="13" fillId="0" borderId="53" xfId="0" applyFont="1" applyFill="1" applyBorder="1" applyAlignment="1">
      <alignment horizontal="center" vertical="center"/>
    </xf>
    <xf numFmtId="0" fontId="13" fillId="0" borderId="53" xfId="0" applyFont="1" applyBorder="1" applyAlignment="1">
      <alignment horizontal="left" vertical="center" wrapText="1"/>
    </xf>
    <xf numFmtId="0" fontId="32" fillId="0" borderId="53" xfId="0" applyFont="1" applyFill="1" applyBorder="1" applyAlignment="1">
      <alignment horizontal="center" vertical="center"/>
    </xf>
    <xf numFmtId="0" fontId="32" fillId="0" borderId="53" xfId="0" applyFont="1" applyFill="1" applyBorder="1" applyAlignment="1">
      <alignment horizontal="left" vertical="center" wrapText="1"/>
    </xf>
    <xf numFmtId="0" fontId="32" fillId="0" borderId="0" xfId="0" applyFont="1" applyFill="1" applyAlignment="1">
      <alignment vertical="center"/>
    </xf>
    <xf numFmtId="0" fontId="13" fillId="0" borderId="53" xfId="0" applyFont="1" applyBorder="1" applyAlignment="1">
      <alignment wrapText="1"/>
    </xf>
    <xf numFmtId="0" fontId="13" fillId="0" borderId="0" xfId="0" applyFont="1" applyFill="1" applyAlignment="1">
      <alignment horizontal="center" vertical="center"/>
    </xf>
    <xf numFmtId="0" fontId="13" fillId="0" borderId="0" xfId="0" applyFont="1" applyFill="1" applyBorder="1" applyAlignment="1">
      <alignment horizontal="left" vertical="center" wrapText="1"/>
    </xf>
    <xf numFmtId="0" fontId="13" fillId="0" borderId="0" xfId="0" applyFont="1" applyFill="1" applyAlignment="1">
      <alignment horizontal="right" vertical="center"/>
    </xf>
    <xf numFmtId="0" fontId="28" fillId="0" borderId="0" xfId="0" applyFont="1" applyAlignment="1">
      <alignment horizontal="left" vertical="center"/>
    </xf>
    <xf numFmtId="0" fontId="13" fillId="3" borderId="53" xfId="49" applyFont="1" applyFill="1" applyBorder="1" applyAlignment="1">
      <alignment horizontal="left" vertical="center" wrapText="1"/>
    </xf>
    <xf numFmtId="176" fontId="19" fillId="0" borderId="0" xfId="1" applyNumberFormat="1" applyFont="1" applyFill="1" applyBorder="1" applyAlignment="1">
      <alignment horizontal="center"/>
    </xf>
    <xf numFmtId="1" fontId="13" fillId="0" borderId="53" xfId="7" applyNumberFormat="1" applyFont="1" applyFill="1" applyBorder="1" applyAlignment="1">
      <alignment vertical="center" wrapText="1"/>
    </xf>
    <xf numFmtId="1" fontId="13" fillId="0" borderId="53" xfId="22" applyNumberFormat="1" applyFont="1" applyFill="1" applyBorder="1" applyAlignment="1">
      <alignment horizontal="left" vertical="center" wrapText="1"/>
    </xf>
    <xf numFmtId="176" fontId="13" fillId="0" borderId="0" xfId="1" applyNumberFormat="1" applyFont="1" applyFill="1" applyAlignment="1">
      <alignment vertical="center"/>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 xfId="2" applyNumberFormat="1" applyFont="1" applyFill="1" applyBorder="1" applyAlignment="1">
      <alignment horizontal="center" vertical="center" wrapText="1"/>
    </xf>
    <xf numFmtId="0" fontId="19" fillId="0" borderId="1" xfId="2" applyNumberFormat="1" applyFont="1" applyFill="1" applyBorder="1" applyAlignment="1">
      <alignment horizontal="left" vertical="center" wrapText="1"/>
    </xf>
    <xf numFmtId="176" fontId="19" fillId="0" borderId="53" xfId="1" applyNumberFormat="1" applyFont="1" applyFill="1" applyBorder="1" applyAlignment="1">
      <alignment horizontal="center" vertical="center" wrapText="1"/>
    </xf>
    <xf numFmtId="176" fontId="19" fillId="0" borderId="53" xfId="2" applyNumberFormat="1" applyFont="1" applyFill="1" applyBorder="1" applyAlignment="1">
      <alignment horizontal="center" vertical="center" wrapText="1"/>
    </xf>
    <xf numFmtId="9" fontId="19" fillId="0" borderId="53" xfId="81" applyFont="1" applyFill="1" applyBorder="1" applyAlignment="1">
      <alignment horizontal="center" vertical="center" wrapText="1"/>
    </xf>
    <xf numFmtId="1" fontId="13" fillId="0" borderId="53" xfId="53" applyNumberFormat="1" applyFont="1" applyFill="1" applyBorder="1" applyAlignment="1">
      <alignment horizontal="left" vertical="center" wrapText="1"/>
    </xf>
    <xf numFmtId="0" fontId="239" fillId="0" borderId="0" xfId="0" applyFont="1" applyFill="1" applyBorder="1"/>
    <xf numFmtId="9" fontId="19" fillId="0" borderId="0" xfId="81" applyFont="1" applyFill="1" applyAlignment="1">
      <alignment horizontal="center"/>
    </xf>
    <xf numFmtId="9" fontId="13" fillId="0" borderId="0" xfId="81" applyFont="1" applyFill="1" applyBorder="1" applyAlignment="1">
      <alignment horizontal="center"/>
    </xf>
    <xf numFmtId="9" fontId="32" fillId="0" borderId="0" xfId="81" applyFont="1" applyFill="1" applyBorder="1" applyAlignment="1">
      <alignment horizontal="center"/>
    </xf>
    <xf numFmtId="9" fontId="13" fillId="0" borderId="53" xfId="81" applyFont="1" applyFill="1" applyBorder="1" applyAlignment="1">
      <alignment horizontal="center" vertical="center" wrapText="1"/>
    </xf>
    <xf numFmtId="9" fontId="32" fillId="0" borderId="53" xfId="81" applyFont="1" applyFill="1" applyBorder="1" applyAlignment="1">
      <alignment horizontal="center" vertical="center" wrapText="1"/>
    </xf>
    <xf numFmtId="9" fontId="13" fillId="0" borderId="0" xfId="81" applyFont="1" applyFill="1" applyAlignment="1">
      <alignment horizontal="center" vertical="center"/>
    </xf>
    <xf numFmtId="176" fontId="13" fillId="0" borderId="0" xfId="0" applyNumberFormat="1" applyFont="1" applyFill="1" applyAlignment="1">
      <alignment vertical="center"/>
    </xf>
    <xf numFmtId="0" fontId="239" fillId="0" borderId="53" xfId="2" applyNumberFormat="1" applyFont="1" applyFill="1" applyBorder="1" applyAlignment="1">
      <alignment horizontal="center" vertical="center" wrapText="1"/>
    </xf>
    <xf numFmtId="176" fontId="239" fillId="0" borderId="53" xfId="1" applyNumberFormat="1" applyFont="1" applyFill="1" applyBorder="1" applyAlignment="1">
      <alignment horizontal="right" vertical="center"/>
    </xf>
    <xf numFmtId="0" fontId="239" fillId="0" borderId="53" xfId="49" applyFont="1" applyFill="1" applyBorder="1" applyAlignment="1">
      <alignment vertical="center" wrapText="1"/>
    </xf>
    <xf numFmtId="9" fontId="19" fillId="57" borderId="53" xfId="81" applyFont="1" applyFill="1" applyBorder="1" applyAlignment="1">
      <alignment horizontal="center" vertical="center" wrapText="1"/>
    </xf>
    <xf numFmtId="9" fontId="13" fillId="0" borderId="53" xfId="81" applyFont="1" applyFill="1" applyBorder="1" applyAlignment="1">
      <alignment horizontal="center" vertical="center"/>
    </xf>
    <xf numFmtId="9" fontId="32" fillId="0" borderId="53" xfId="81" applyFont="1" applyFill="1" applyBorder="1" applyAlignment="1">
      <alignment horizontal="center" vertical="center"/>
    </xf>
    <xf numFmtId="1" fontId="12" fillId="59" borderId="53" xfId="80" applyNumberFormat="1" applyFont="1" applyFill="1" applyBorder="1" applyAlignment="1">
      <alignment horizontal="center" vertical="center" wrapText="1"/>
    </xf>
    <xf numFmtId="1" fontId="264" fillId="0" borderId="1" xfId="80" applyNumberFormat="1" applyFont="1" applyFill="1" applyBorder="1" applyAlignment="1">
      <alignment horizontal="center" vertical="center" wrapText="1"/>
    </xf>
    <xf numFmtId="1" fontId="264" fillId="2" borderId="1" xfId="80" applyNumberFormat="1" applyFont="1" applyFill="1" applyBorder="1" applyAlignment="1">
      <alignment horizontal="center" vertical="center" wrapText="1"/>
    </xf>
    <xf numFmtId="0" fontId="19" fillId="0" borderId="53" xfId="47" applyFont="1" applyFill="1" applyBorder="1" applyAlignment="1">
      <alignment horizontal="center" vertical="center" wrapText="1"/>
    </xf>
    <xf numFmtId="9" fontId="13" fillId="0" borderId="53" xfId="81" applyNumberFormat="1" applyFont="1" applyFill="1" applyBorder="1" applyAlignment="1">
      <alignment horizontal="center" vertical="center" wrapText="1"/>
    </xf>
    <xf numFmtId="0" fontId="19" fillId="0" borderId="1" xfId="2" applyNumberFormat="1" applyFont="1" applyFill="1" applyBorder="1" applyAlignment="1">
      <alignment horizontal="center" vertical="center" wrapText="1"/>
    </xf>
    <xf numFmtId="0" fontId="19" fillId="0" borderId="4" xfId="2" applyNumberFormat="1" applyFont="1" applyFill="1" applyBorder="1" applyAlignment="1">
      <alignment horizontal="center" vertical="center" wrapText="1"/>
    </xf>
    <xf numFmtId="0" fontId="19" fillId="0" borderId="1" xfId="2" applyNumberFormat="1" applyFont="1" applyFill="1" applyBorder="1" applyAlignment="1">
      <alignment horizontal="left" vertical="center" wrapText="1"/>
    </xf>
    <xf numFmtId="183" fontId="19" fillId="0" borderId="1" xfId="2" applyNumberFormat="1" applyFont="1" applyFill="1" applyBorder="1" applyAlignment="1">
      <alignment horizontal="center" vertical="center" wrapText="1"/>
    </xf>
    <xf numFmtId="49" fontId="19" fillId="0" borderId="1" xfId="2" applyNumberFormat="1" applyFont="1" applyFill="1" applyBorder="1" applyAlignment="1">
      <alignment horizontal="center" vertical="center" wrapText="1"/>
    </xf>
    <xf numFmtId="0" fontId="19" fillId="0" borderId="53" xfId="2" applyNumberFormat="1" applyFont="1" applyFill="1" applyBorder="1" applyAlignment="1">
      <alignment horizontal="center" vertical="center" wrapText="1"/>
    </xf>
    <xf numFmtId="0" fontId="19" fillId="0" borderId="53" xfId="2" applyNumberFormat="1" applyFont="1" applyFill="1" applyBorder="1" applyAlignment="1">
      <alignment horizontal="left" vertical="center" wrapText="1"/>
    </xf>
    <xf numFmtId="176" fontId="19" fillId="0" borderId="53" xfId="1" applyNumberFormat="1" applyFont="1" applyFill="1" applyBorder="1" applyAlignment="1">
      <alignment horizontal="center" vertical="center" wrapText="1"/>
    </xf>
    <xf numFmtId="183" fontId="19" fillId="0" borderId="53" xfId="2" applyNumberFormat="1" applyFont="1" applyFill="1" applyBorder="1" applyAlignment="1">
      <alignment horizontal="center" vertical="center" wrapText="1"/>
    </xf>
    <xf numFmtId="49" fontId="19" fillId="0" borderId="53" xfId="2" applyNumberFormat="1" applyFont="1" applyFill="1" applyBorder="1" applyAlignment="1">
      <alignment horizontal="center" vertical="center" wrapText="1"/>
    </xf>
    <xf numFmtId="176" fontId="19" fillId="57" borderId="53" xfId="1" applyNumberFormat="1" applyFont="1" applyFill="1" applyBorder="1" applyAlignment="1">
      <alignment horizontal="center" vertical="center" wrapText="1"/>
    </xf>
    <xf numFmtId="176" fontId="32" fillId="0" borderId="53" xfId="1" applyNumberFormat="1" applyFont="1" applyFill="1" applyBorder="1" applyAlignment="1">
      <alignment horizontal="center" vertical="center" wrapText="1"/>
    </xf>
    <xf numFmtId="176" fontId="32" fillId="0" borderId="53" xfId="1" applyNumberFormat="1" applyFont="1" applyFill="1" applyBorder="1" applyAlignment="1">
      <alignment horizontal="center" vertical="center"/>
    </xf>
    <xf numFmtId="0" fontId="19" fillId="57" borderId="53" xfId="2" applyNumberFormat="1" applyFont="1" applyFill="1" applyBorder="1" applyAlignment="1">
      <alignment horizontal="center" vertical="center" wrapText="1"/>
    </xf>
    <xf numFmtId="0" fontId="19" fillId="57" borderId="53" xfId="2" applyNumberFormat="1" applyFont="1" applyFill="1" applyBorder="1" applyAlignment="1">
      <alignment horizontal="left" vertical="center" wrapText="1"/>
    </xf>
    <xf numFmtId="176" fontId="13" fillId="57" borderId="53" xfId="1" quotePrefix="1" applyNumberFormat="1" applyFont="1" applyFill="1" applyBorder="1" applyAlignment="1">
      <alignment horizontal="center" vertical="center" wrapText="1"/>
    </xf>
    <xf numFmtId="0" fontId="239" fillId="0" borderId="53" xfId="49" applyFont="1" applyFill="1" applyBorder="1" applyAlignment="1">
      <alignment horizontal="center" vertical="center" wrapText="1"/>
    </xf>
    <xf numFmtId="176" fontId="19" fillId="2" borderId="0" xfId="2" applyNumberFormat="1" applyFont="1" applyFill="1" applyBorder="1" applyAlignment="1">
      <alignment horizontal="center" vertical="center" wrapText="1"/>
    </xf>
    <xf numFmtId="0" fontId="19" fillId="2" borderId="0" xfId="0" applyFont="1" applyFill="1" applyBorder="1"/>
    <xf numFmtId="176" fontId="19" fillId="0" borderId="1" xfId="1" applyNumberFormat="1" applyFont="1" applyFill="1" applyBorder="1" applyAlignment="1">
      <alignment horizontal="right" vertical="center"/>
    </xf>
    <xf numFmtId="176" fontId="19" fillId="57" borderId="53" xfId="1" applyNumberFormat="1" applyFont="1" applyFill="1" applyBorder="1" applyAlignment="1">
      <alignment vertical="center" wrapText="1"/>
    </xf>
    <xf numFmtId="1" fontId="239" fillId="0" borderId="53" xfId="80" applyNumberFormat="1" applyFont="1" applyFill="1" applyBorder="1" applyAlignment="1">
      <alignment horizontal="center" vertical="center"/>
    </xf>
    <xf numFmtId="0" fontId="239" fillId="0" borderId="0" xfId="0" applyFont="1" applyFill="1" applyAlignment="1">
      <alignment vertical="center"/>
    </xf>
    <xf numFmtId="0" fontId="13" fillId="61" borderId="0" xfId="0" applyFont="1" applyFill="1"/>
    <xf numFmtId="0" fontId="13" fillId="61" borderId="0" xfId="0" applyFont="1" applyFill="1" applyAlignment="1">
      <alignment wrapText="1"/>
    </xf>
    <xf numFmtId="176" fontId="19" fillId="0" borderId="0" xfId="47" applyNumberFormat="1" applyFont="1" applyFill="1" applyAlignment="1">
      <alignment vertical="center"/>
    </xf>
    <xf numFmtId="0" fontId="266" fillId="0" borderId="0" xfId="0" applyFont="1"/>
    <xf numFmtId="0" fontId="266" fillId="0" borderId="53" xfId="0" applyFont="1" applyBorder="1"/>
    <xf numFmtId="0" fontId="266" fillId="0" borderId="53" xfId="0" applyFont="1" applyBorder="1" applyAlignment="1">
      <alignment horizontal="left" vertical="center"/>
    </xf>
    <xf numFmtId="0" fontId="252" fillId="3" borderId="1" xfId="2" applyNumberFormat="1" applyFont="1" applyFill="1" applyBorder="1" applyAlignment="1">
      <alignment horizontal="center" vertical="center" wrapText="1"/>
    </xf>
    <xf numFmtId="0" fontId="252" fillId="3" borderId="4" xfId="2" applyNumberFormat="1" applyFont="1" applyFill="1" applyBorder="1" applyAlignment="1">
      <alignment horizontal="center" vertical="center" wrapText="1"/>
    </xf>
    <xf numFmtId="181" fontId="252" fillId="3" borderId="1" xfId="2" applyNumberFormat="1" applyFont="1" applyFill="1" applyBorder="1" applyAlignment="1">
      <alignment horizontal="center" vertical="center" wrapText="1"/>
    </xf>
    <xf numFmtId="0" fontId="240" fillId="0" borderId="1" xfId="2" applyNumberFormat="1" applyFont="1" applyFill="1" applyBorder="1" applyAlignment="1">
      <alignment horizontal="left" vertical="center" wrapText="1"/>
    </xf>
    <xf numFmtId="176" fontId="240" fillId="2" borderId="4" xfId="1" applyNumberFormat="1" applyFont="1" applyFill="1" applyBorder="1" applyAlignment="1">
      <alignment horizontal="center" vertical="center" wrapText="1"/>
    </xf>
    <xf numFmtId="181" fontId="240" fillId="2" borderId="4" xfId="1" applyNumberFormat="1" applyFont="1" applyFill="1" applyBorder="1" applyAlignment="1">
      <alignment horizontal="center" vertical="center" wrapText="1"/>
    </xf>
    <xf numFmtId="0" fontId="240" fillId="2" borderId="1" xfId="2" applyNumberFormat="1" applyFont="1" applyFill="1" applyBorder="1" applyAlignment="1">
      <alignment horizontal="center" vertical="center" wrapText="1"/>
    </xf>
    <xf numFmtId="0" fontId="240" fillId="2" borderId="1" xfId="2" applyNumberFormat="1" applyFont="1" applyFill="1" applyBorder="1" applyAlignment="1">
      <alignment horizontal="left" vertical="center" wrapText="1"/>
    </xf>
    <xf numFmtId="0" fontId="240" fillId="2" borderId="4" xfId="2" applyNumberFormat="1" applyFont="1" applyFill="1" applyBorder="1" applyAlignment="1">
      <alignment horizontal="center" vertical="center" wrapText="1"/>
    </xf>
    <xf numFmtId="176" fontId="248" fillId="2" borderId="1" xfId="1" applyNumberFormat="1" applyFont="1" applyFill="1" applyBorder="1" applyAlignment="1">
      <alignment horizontal="center" vertical="center" wrapText="1"/>
    </xf>
    <xf numFmtId="181" fontId="248" fillId="2" borderId="1" xfId="1" applyNumberFormat="1" applyFont="1" applyFill="1" applyBorder="1" applyAlignment="1">
      <alignment horizontal="center" vertical="center" wrapText="1"/>
    </xf>
    <xf numFmtId="0" fontId="240" fillId="3" borderId="1" xfId="5" applyNumberFormat="1" applyFont="1" applyFill="1" applyBorder="1" applyAlignment="1">
      <alignment horizontal="center" vertical="center"/>
    </xf>
    <xf numFmtId="1" fontId="240" fillId="3" borderId="1" xfId="5" applyNumberFormat="1" applyFont="1" applyFill="1" applyBorder="1" applyAlignment="1">
      <alignment horizontal="left" vertical="center" wrapText="1"/>
    </xf>
    <xf numFmtId="1" fontId="240" fillId="3" borderId="1" xfId="7" applyNumberFormat="1" applyFont="1" applyFill="1" applyBorder="1" applyAlignment="1">
      <alignment horizontal="center" vertical="center"/>
    </xf>
    <xf numFmtId="177" fontId="240" fillId="3" borderId="1" xfId="0" applyNumberFormat="1" applyFont="1" applyFill="1" applyBorder="1" applyAlignment="1">
      <alignment horizontal="center" vertical="center" wrapText="1"/>
    </xf>
    <xf numFmtId="0" fontId="240" fillId="3" borderId="1" xfId="2" applyNumberFormat="1" applyFont="1" applyFill="1" applyBorder="1" applyAlignment="1">
      <alignment horizontal="center" vertical="center" wrapText="1"/>
    </xf>
    <xf numFmtId="0" fontId="240" fillId="3" borderId="1" xfId="5" applyNumberFormat="1" applyFont="1" applyFill="1" applyBorder="1" applyAlignment="1">
      <alignment horizontal="center" vertical="center" wrapText="1"/>
    </xf>
    <xf numFmtId="1" fontId="240" fillId="3" borderId="1" xfId="5" applyNumberFormat="1" applyFont="1" applyFill="1" applyBorder="1" applyAlignment="1">
      <alignment horizontal="center" vertical="center" wrapText="1"/>
    </xf>
    <xf numFmtId="176" fontId="240" fillId="3" borderId="1" xfId="1" applyNumberFormat="1" applyFont="1" applyFill="1" applyBorder="1" applyAlignment="1">
      <alignment horizontal="right" vertical="center"/>
    </xf>
    <xf numFmtId="181" fontId="240" fillId="3" borderId="1" xfId="1" applyNumberFormat="1" applyFont="1" applyFill="1" applyBorder="1" applyAlignment="1">
      <alignment horizontal="right" vertical="center"/>
    </xf>
    <xf numFmtId="0" fontId="12" fillId="3" borderId="1" xfId="5" applyNumberFormat="1" applyFont="1" applyFill="1" applyBorder="1" applyAlignment="1">
      <alignment horizontal="center" vertical="center"/>
    </xf>
    <xf numFmtId="0" fontId="12" fillId="3" borderId="1" xfId="0" applyFont="1" applyFill="1" applyBorder="1" applyAlignment="1">
      <alignment horizontal="left" vertical="center" wrapText="1"/>
    </xf>
    <xf numFmtId="1" fontId="12" fillId="3" borderId="1" xfId="7" applyNumberFormat="1" applyFont="1" applyFill="1" applyBorder="1" applyAlignment="1">
      <alignment horizontal="center" vertical="center"/>
    </xf>
    <xf numFmtId="14" fontId="12" fillId="3" borderId="1" xfId="0" applyNumberFormat="1" applyFont="1" applyFill="1" applyBorder="1" applyAlignment="1">
      <alignment horizontal="center" vertical="center" wrapText="1"/>
    </xf>
    <xf numFmtId="0" fontId="12" fillId="3" borderId="1" xfId="2" applyNumberFormat="1" applyFont="1" applyFill="1" applyBorder="1" applyAlignment="1">
      <alignment horizontal="center" vertical="center" wrapText="1"/>
    </xf>
    <xf numFmtId="0" fontId="12" fillId="3" borderId="1" xfId="5" applyNumberFormat="1" applyFont="1" applyFill="1" applyBorder="1" applyAlignment="1">
      <alignment horizontal="center" vertical="center" wrapText="1"/>
    </xf>
    <xf numFmtId="1" fontId="12" fillId="2" borderId="1" xfId="7" applyNumberFormat="1" applyFont="1" applyFill="1" applyBorder="1" applyAlignment="1">
      <alignment horizontal="center" vertical="center" wrapText="1"/>
    </xf>
    <xf numFmtId="176" fontId="12" fillId="3" borderId="1" xfId="1" applyNumberFormat="1" applyFont="1" applyFill="1" applyBorder="1" applyAlignment="1">
      <alignment horizontal="right" vertical="center"/>
    </xf>
    <xf numFmtId="181" fontId="12" fillId="3" borderId="1" xfId="1" applyNumberFormat="1" applyFont="1" applyFill="1" applyBorder="1" applyAlignment="1">
      <alignment horizontal="right" vertical="center"/>
    </xf>
    <xf numFmtId="0" fontId="12" fillId="0" borderId="1" xfId="5" applyNumberFormat="1" applyFont="1" applyFill="1" applyBorder="1" applyAlignment="1">
      <alignment horizontal="center" vertical="center"/>
    </xf>
    <xf numFmtId="169" fontId="12" fillId="0" borderId="1" xfId="1" applyFont="1" applyFill="1" applyBorder="1" applyAlignment="1">
      <alignment horizontal="left" vertical="center" wrapText="1"/>
    </xf>
    <xf numFmtId="1" fontId="12" fillId="0" borderId="1" xfId="7" applyNumberFormat="1" applyFont="1" applyFill="1" applyBorder="1" applyAlignment="1">
      <alignment horizontal="center" vertical="center"/>
    </xf>
    <xf numFmtId="14" fontId="12" fillId="0" borderId="1" xfId="0" applyNumberFormat="1" applyFont="1" applyFill="1" applyBorder="1" applyAlignment="1">
      <alignment horizontal="center" vertical="center" wrapText="1"/>
    </xf>
    <xf numFmtId="176" fontId="12" fillId="0" borderId="1" xfId="1" applyNumberFormat="1" applyFont="1" applyFill="1" applyBorder="1" applyAlignment="1">
      <alignment horizontal="right" vertical="center"/>
    </xf>
    <xf numFmtId="181" fontId="12" fillId="0" borderId="1" xfId="1" applyNumberFormat="1" applyFont="1" applyFill="1" applyBorder="1" applyAlignment="1">
      <alignment horizontal="right" vertical="center"/>
    </xf>
    <xf numFmtId="169" fontId="240" fillId="3" borderId="1" xfId="1" applyFont="1" applyFill="1" applyBorder="1" applyAlignment="1">
      <alignment horizontal="left" vertical="center" wrapText="1"/>
    </xf>
    <xf numFmtId="0" fontId="240" fillId="3" borderId="1" xfId="6" applyFont="1" applyFill="1" applyBorder="1" applyAlignment="1">
      <alignment horizontal="center" vertical="center" wrapText="1"/>
    </xf>
    <xf numFmtId="0" fontId="12" fillId="3" borderId="1" xfId="0" applyNumberFormat="1" applyFont="1" applyFill="1" applyBorder="1" applyAlignment="1">
      <alignment horizontal="left" vertical="center" wrapText="1"/>
    </xf>
    <xf numFmtId="0" fontId="12" fillId="3" borderId="1" xfId="0" applyNumberFormat="1" applyFont="1" applyFill="1" applyBorder="1" applyAlignment="1">
      <alignment horizontal="center" vertical="center" wrapText="1"/>
    </xf>
    <xf numFmtId="1" fontId="12" fillId="3" borderId="1" xfId="7"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1" fontId="12" fillId="2" borderId="1" xfId="53" applyNumberFormat="1" applyFont="1" applyFill="1" applyBorder="1" applyAlignment="1">
      <alignment vertical="center" wrapText="1"/>
    </xf>
    <xf numFmtId="1" fontId="12" fillId="0" borderId="1" xfId="53" applyNumberFormat="1" applyFont="1" applyFill="1" applyBorder="1" applyAlignment="1">
      <alignment vertical="center" wrapText="1"/>
    </xf>
    <xf numFmtId="0" fontId="241" fillId="0" borderId="1" xfId="47" applyFont="1" applyFill="1" applyBorder="1" applyAlignment="1">
      <alignment horizontal="center" vertical="center"/>
    </xf>
    <xf numFmtId="0" fontId="241" fillId="0" borderId="1" xfId="16" applyNumberFormat="1" applyFont="1" applyFill="1" applyBorder="1" applyAlignment="1">
      <alignment horizontal="center" vertical="center"/>
    </xf>
    <xf numFmtId="176" fontId="12" fillId="2" borderId="1" xfId="16" applyNumberFormat="1" applyFont="1" applyFill="1" applyBorder="1" applyAlignment="1">
      <alignment horizontal="center" vertical="center" wrapText="1"/>
    </xf>
    <xf numFmtId="181" fontId="12" fillId="2" borderId="1" xfId="16" applyNumberFormat="1" applyFont="1" applyFill="1" applyBorder="1" applyAlignment="1">
      <alignment horizontal="right" vertical="center" wrapText="1"/>
    </xf>
    <xf numFmtId="181" fontId="12" fillId="2" borderId="1" xfId="16" applyNumberFormat="1" applyFont="1" applyFill="1" applyBorder="1" applyAlignment="1">
      <alignment horizontal="right" vertical="center"/>
    </xf>
    <xf numFmtId="181" fontId="12" fillId="0" borderId="1" xfId="16" applyNumberFormat="1" applyFont="1" applyFill="1" applyBorder="1" applyAlignment="1">
      <alignment horizontal="right" vertical="center" wrapText="1"/>
    </xf>
    <xf numFmtId="1" fontId="264" fillId="0" borderId="1" xfId="80" applyNumberFormat="1" applyFont="1" applyFill="1" applyBorder="1" applyAlignment="1">
      <alignment horizontal="center" vertical="center"/>
    </xf>
    <xf numFmtId="1" fontId="264" fillId="0" borderId="1" xfId="80" applyNumberFormat="1" applyFont="1" applyFill="1" applyBorder="1" applyAlignment="1">
      <alignment vertical="center" wrapText="1"/>
    </xf>
    <xf numFmtId="176" fontId="240" fillId="0" borderId="1" xfId="4304" applyNumberFormat="1" applyFont="1" applyFill="1" applyBorder="1" applyAlignment="1">
      <alignment horizontal="right" vertical="center"/>
    </xf>
    <xf numFmtId="1" fontId="240" fillId="0" borderId="1" xfId="80" applyNumberFormat="1" applyFont="1" applyFill="1" applyBorder="1" applyAlignment="1">
      <alignment vertical="center"/>
    </xf>
    <xf numFmtId="3" fontId="240" fillId="0" borderId="1" xfId="0" applyNumberFormat="1" applyFont="1" applyFill="1" applyBorder="1" applyAlignment="1">
      <alignment horizontal="center" vertical="center" wrapText="1"/>
    </xf>
    <xf numFmtId="0" fontId="266" fillId="2" borderId="1" xfId="0" applyFont="1" applyFill="1" applyBorder="1"/>
    <xf numFmtId="4" fontId="266" fillId="2" borderId="1" xfId="0" applyNumberFormat="1" applyFont="1" applyFill="1" applyBorder="1"/>
    <xf numFmtId="1" fontId="12" fillId="0" borderId="1" xfId="80" applyNumberFormat="1" applyFont="1" applyFill="1" applyBorder="1" applyAlignment="1">
      <alignment horizontal="center" vertical="center"/>
    </xf>
    <xf numFmtId="0" fontId="241" fillId="0" borderId="1" xfId="49" applyFont="1" applyFill="1" applyBorder="1" applyAlignment="1">
      <alignment vertical="center" wrapText="1"/>
    </xf>
    <xf numFmtId="3" fontId="12" fillId="0" borderId="1" xfId="0" applyNumberFormat="1" applyFont="1" applyFill="1" applyBorder="1" applyAlignment="1">
      <alignment horizontal="right" vertical="center" wrapText="1"/>
    </xf>
    <xf numFmtId="176" fontId="12" fillId="0" borderId="1" xfId="4304" applyNumberFormat="1" applyFont="1" applyFill="1" applyBorder="1" applyAlignment="1">
      <alignment horizontal="right" vertical="center"/>
    </xf>
    <xf numFmtId="176" fontId="267" fillId="0" borderId="1" xfId="4304" applyNumberFormat="1" applyFont="1" applyFill="1" applyBorder="1" applyAlignment="1">
      <alignment horizontal="right" vertical="center"/>
    </xf>
    <xf numFmtId="3" fontId="241" fillId="0" borderId="1" xfId="2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 fontId="241" fillId="0" borderId="1" xfId="80" applyNumberFormat="1" applyFont="1" applyFill="1" applyBorder="1" applyAlignment="1">
      <alignment vertical="center" wrapText="1"/>
    </xf>
    <xf numFmtId="0" fontId="265" fillId="2" borderId="1" xfId="0" applyFont="1" applyFill="1" applyBorder="1" applyAlignment="1">
      <alignment horizontal="center"/>
    </xf>
    <xf numFmtId="0" fontId="240" fillId="2" borderId="1" xfId="0" applyNumberFormat="1" applyFont="1" applyFill="1" applyBorder="1" applyAlignment="1">
      <alignment horizontal="left" vertical="center" wrapText="1"/>
    </xf>
    <xf numFmtId="176" fontId="240" fillId="0" borderId="4" xfId="1" applyNumberFormat="1" applyFont="1" applyFill="1" applyBorder="1" applyAlignment="1">
      <alignment horizontal="center" vertical="center" wrapText="1"/>
    </xf>
    <xf numFmtId="181" fontId="240" fillId="0" borderId="4" xfId="1" applyNumberFormat="1" applyFont="1" applyFill="1" applyBorder="1" applyAlignment="1">
      <alignment horizontal="center" vertical="center" wrapText="1"/>
    </xf>
    <xf numFmtId="0" fontId="240" fillId="0" borderId="1" xfId="5" applyNumberFormat="1" applyFont="1" applyFill="1" applyBorder="1" applyAlignment="1">
      <alignment horizontal="center" vertical="center"/>
    </xf>
    <xf numFmtId="1" fontId="240" fillId="0" borderId="1" xfId="7" applyNumberFormat="1" applyFont="1" applyFill="1" applyBorder="1" applyAlignment="1">
      <alignment horizontal="left" vertical="center" wrapText="1"/>
    </xf>
    <xf numFmtId="176" fontId="240" fillId="0" borderId="1" xfId="1" applyNumberFormat="1" applyFont="1" applyFill="1" applyBorder="1" applyAlignment="1">
      <alignment horizontal="center" vertical="center" wrapText="1"/>
    </xf>
    <xf numFmtId="14" fontId="240" fillId="0" borderId="1" xfId="0" applyNumberFormat="1" applyFont="1" applyFill="1" applyBorder="1" applyAlignment="1">
      <alignment horizontal="center" vertical="center" wrapText="1"/>
    </xf>
    <xf numFmtId="0" fontId="240" fillId="0" borderId="1" xfId="5" applyNumberFormat="1" applyFont="1" applyFill="1" applyBorder="1" applyAlignment="1">
      <alignment horizontal="center" vertical="center" wrapText="1"/>
    </xf>
    <xf numFmtId="181" fontId="12" fillId="2" borderId="1" xfId="1" applyNumberFormat="1" applyFont="1" applyFill="1" applyBorder="1" applyAlignment="1">
      <alignment horizontal="right" vertical="center"/>
    </xf>
    <xf numFmtId="0" fontId="259" fillId="2" borderId="0" xfId="0" applyFont="1" applyFill="1" applyAlignment="1">
      <alignment vertical="center"/>
    </xf>
    <xf numFmtId="3" fontId="264" fillId="0" borderId="1" xfId="80" applyNumberFormat="1" applyFont="1" applyFill="1" applyBorder="1" applyAlignment="1">
      <alignment horizontal="right" vertical="center"/>
    </xf>
    <xf numFmtId="176" fontId="12" fillId="0" borderId="1" xfId="4304" applyNumberFormat="1" applyFont="1" applyFill="1" applyBorder="1" applyAlignment="1">
      <alignment horizontal="center" vertical="center" wrapText="1"/>
    </xf>
    <xf numFmtId="1" fontId="264" fillId="0" borderId="53" xfId="80" applyNumberFormat="1" applyFont="1" applyFill="1" applyBorder="1" applyAlignment="1">
      <alignment horizontal="center" vertical="center"/>
    </xf>
    <xf numFmtId="1" fontId="264" fillId="0" borderId="53" xfId="80" applyNumberFormat="1" applyFont="1" applyFill="1" applyBorder="1" applyAlignment="1">
      <alignment vertical="center" wrapText="1"/>
    </xf>
    <xf numFmtId="1" fontId="264" fillId="0" borderId="53" xfId="80" applyNumberFormat="1" applyFont="1" applyFill="1" applyBorder="1" applyAlignment="1">
      <alignment horizontal="center" vertical="center" wrapText="1"/>
    </xf>
    <xf numFmtId="3" fontId="264" fillId="0" borderId="53" xfId="80" applyNumberFormat="1" applyFont="1" applyFill="1" applyBorder="1" applyAlignment="1">
      <alignment horizontal="right" vertical="center"/>
    </xf>
    <xf numFmtId="181" fontId="12" fillId="3" borderId="53" xfId="1" applyNumberFormat="1" applyFont="1" applyFill="1" applyBorder="1" applyAlignment="1">
      <alignment horizontal="right" vertical="center"/>
    </xf>
    <xf numFmtId="1" fontId="240" fillId="0" borderId="53" xfId="80" applyNumberFormat="1" applyFont="1" applyFill="1" applyBorder="1" applyAlignment="1">
      <alignment vertical="center"/>
    </xf>
    <xf numFmtId="176" fontId="12" fillId="0" borderId="53" xfId="4304" applyNumberFormat="1" applyFont="1" applyFill="1" applyBorder="1" applyAlignment="1">
      <alignment horizontal="center" vertical="center" wrapText="1"/>
    </xf>
    <xf numFmtId="0" fontId="266" fillId="2" borderId="53" xfId="0" applyFont="1" applyFill="1" applyBorder="1"/>
    <xf numFmtId="1" fontId="264" fillId="2" borderId="53" xfId="80" applyNumberFormat="1" applyFont="1" applyFill="1" applyBorder="1" applyAlignment="1">
      <alignment horizontal="center" vertical="center" wrapText="1"/>
    </xf>
    <xf numFmtId="4" fontId="266" fillId="2" borderId="53" xfId="0" applyNumberFormat="1" applyFont="1" applyFill="1" applyBorder="1"/>
    <xf numFmtId="1" fontId="259" fillId="0" borderId="1" xfId="7" applyNumberFormat="1" applyFont="1" applyFill="1" applyBorder="1" applyAlignment="1">
      <alignment horizontal="left" vertical="center" wrapText="1"/>
    </xf>
    <xf numFmtId="1" fontId="259" fillId="0" borderId="1" xfId="7" applyNumberFormat="1" applyFont="1" applyFill="1" applyBorder="1" applyAlignment="1">
      <alignment horizontal="center" vertical="center" wrapText="1"/>
    </xf>
    <xf numFmtId="176" fontId="259" fillId="0" borderId="1" xfId="4304" applyNumberFormat="1" applyFont="1" applyFill="1" applyBorder="1" applyAlignment="1">
      <alignment horizontal="center" vertical="center" wrapText="1"/>
    </xf>
    <xf numFmtId="3" fontId="259" fillId="0" borderId="1" xfId="20" applyNumberFormat="1" applyFont="1" applyFill="1" applyBorder="1" applyAlignment="1">
      <alignment horizontal="right" vertical="center"/>
    </xf>
    <xf numFmtId="167" fontId="259" fillId="2" borderId="1" xfId="39" applyNumberFormat="1" applyFont="1" applyFill="1" applyBorder="1" applyAlignment="1">
      <alignment horizontal="center" vertical="center" wrapText="1"/>
    </xf>
    <xf numFmtId="1" fontId="259" fillId="0" borderId="1" xfId="22" applyNumberFormat="1" applyFont="1" applyFill="1" applyBorder="1" applyAlignment="1">
      <alignment horizontal="left" vertical="center" wrapText="1"/>
    </xf>
    <xf numFmtId="1" fontId="259" fillId="0" borderId="1" xfId="22" applyNumberFormat="1" applyFont="1" applyFill="1" applyBorder="1" applyAlignment="1">
      <alignment horizontal="center" vertical="center" wrapText="1"/>
    </xf>
    <xf numFmtId="0" fontId="241" fillId="0" borderId="1" xfId="5" applyNumberFormat="1" applyFont="1" applyFill="1" applyBorder="1" applyAlignment="1">
      <alignment horizontal="center" vertical="center" wrapText="1"/>
    </xf>
    <xf numFmtId="3" fontId="241" fillId="0" borderId="1" xfId="20" applyNumberFormat="1" applyFont="1" applyFill="1" applyBorder="1" applyAlignment="1">
      <alignment horizontal="right" vertical="center"/>
    </xf>
    <xf numFmtId="1" fontId="241" fillId="0" borderId="1" xfId="80" applyNumberFormat="1" applyFont="1" applyFill="1" applyBorder="1" applyAlignment="1">
      <alignment horizontal="center" vertical="center"/>
    </xf>
    <xf numFmtId="0" fontId="241" fillId="2" borderId="1" xfId="5" applyNumberFormat="1" applyFont="1" applyFill="1" applyBorder="1" applyAlignment="1">
      <alignment horizontal="center" vertical="center" wrapText="1"/>
    </xf>
    <xf numFmtId="1" fontId="241" fillId="0" borderId="1" xfId="80" applyNumberFormat="1" applyFont="1" applyFill="1" applyBorder="1" applyAlignment="1">
      <alignment horizontal="center" vertical="center" wrapText="1"/>
    </xf>
    <xf numFmtId="176" fontId="259" fillId="0" borderId="1" xfId="4305" applyNumberFormat="1" applyFont="1" applyFill="1" applyBorder="1" applyAlignment="1">
      <alignment horizontal="center" vertical="center" wrapText="1"/>
    </xf>
    <xf numFmtId="176" fontId="241" fillId="0" borderId="1" xfId="4304" applyNumberFormat="1" applyFont="1" applyFill="1" applyBorder="1" applyAlignment="1">
      <alignment horizontal="center" vertical="center" wrapText="1"/>
    </xf>
    <xf numFmtId="3" fontId="259" fillId="0" borderId="1" xfId="20" applyNumberFormat="1" applyFont="1" applyFill="1" applyBorder="1" applyAlignment="1">
      <alignment horizontal="center" vertical="center" wrapText="1"/>
    </xf>
    <xf numFmtId="0" fontId="259" fillId="0" borderId="1" xfId="49" applyFont="1" applyFill="1" applyBorder="1" applyAlignment="1">
      <alignment vertical="center" wrapText="1"/>
    </xf>
    <xf numFmtId="0" fontId="259" fillId="0" borderId="1" xfId="49" applyFont="1" applyFill="1" applyBorder="1" applyAlignment="1">
      <alignment horizontal="center" vertical="center" wrapText="1"/>
    </xf>
    <xf numFmtId="1" fontId="259" fillId="0" borderId="1" xfId="80" applyNumberFormat="1" applyFont="1" applyFill="1" applyBorder="1" applyAlignment="1">
      <alignment horizontal="center" vertical="center" wrapText="1"/>
    </xf>
    <xf numFmtId="167" fontId="259" fillId="59" borderId="53" xfId="39" applyNumberFormat="1" applyFont="1" applyFill="1" applyBorder="1" applyAlignment="1">
      <alignment horizontal="center" vertical="center" wrapText="1"/>
    </xf>
    <xf numFmtId="176" fontId="259" fillId="0" borderId="4" xfId="49" applyNumberFormat="1" applyFont="1" applyFill="1" applyBorder="1" applyAlignment="1">
      <alignment horizontal="right" vertical="center" wrapText="1"/>
    </xf>
    <xf numFmtId="176" fontId="241" fillId="0" borderId="4" xfId="49" applyNumberFormat="1" applyFont="1" applyFill="1" applyBorder="1" applyAlignment="1">
      <alignment horizontal="right" vertical="center" wrapText="1"/>
    </xf>
    <xf numFmtId="167" fontId="241" fillId="2" borderId="1" xfId="39" applyNumberFormat="1" applyFont="1" applyFill="1" applyBorder="1" applyAlignment="1">
      <alignment horizontal="center" vertical="center" wrapText="1"/>
    </xf>
    <xf numFmtId="1" fontId="241" fillId="58" borderId="53" xfId="80" applyNumberFormat="1" applyFont="1" applyFill="1" applyBorder="1" applyAlignment="1">
      <alignment horizontal="center" vertical="center"/>
    </xf>
    <xf numFmtId="0" fontId="241" fillId="58" borderId="53" xfId="49" applyFont="1" applyFill="1" applyBorder="1" applyAlignment="1">
      <alignment vertical="center" wrapText="1"/>
    </xf>
    <xf numFmtId="0" fontId="241" fillId="58" borderId="53" xfId="49" applyFont="1" applyFill="1" applyBorder="1" applyAlignment="1">
      <alignment horizontal="center" vertical="center" wrapText="1"/>
    </xf>
    <xf numFmtId="1" fontId="241" fillId="58" borderId="53" xfId="80" applyNumberFormat="1" applyFont="1" applyFill="1" applyBorder="1" applyAlignment="1">
      <alignment horizontal="center" vertical="center" wrapText="1"/>
    </xf>
    <xf numFmtId="167" fontId="241" fillId="59" borderId="53" xfId="39" applyNumberFormat="1" applyFont="1" applyFill="1" applyBorder="1" applyAlignment="1">
      <alignment horizontal="center" vertical="center" wrapText="1"/>
    </xf>
    <xf numFmtId="176" fontId="241" fillId="58" borderId="4" xfId="49" applyNumberFormat="1" applyFont="1" applyFill="1" applyBorder="1" applyAlignment="1">
      <alignment horizontal="right" vertical="center" wrapText="1"/>
    </xf>
    <xf numFmtId="181" fontId="241" fillId="58" borderId="53" xfId="1" applyNumberFormat="1" applyFont="1" applyFill="1" applyBorder="1" applyAlignment="1">
      <alignment horizontal="right" vertical="center"/>
    </xf>
    <xf numFmtId="176" fontId="241" fillId="58" borderId="53" xfId="4304" applyNumberFormat="1" applyFont="1" applyFill="1" applyBorder="1" applyAlignment="1">
      <alignment horizontal="right" vertical="center"/>
    </xf>
    <xf numFmtId="0" fontId="241" fillId="58" borderId="0" xfId="0" applyFont="1" applyFill="1"/>
    <xf numFmtId="0" fontId="241" fillId="58" borderId="53" xfId="0" applyFont="1" applyFill="1" applyBorder="1" applyAlignment="1">
      <alignment horizontal="left" vertical="center"/>
    </xf>
    <xf numFmtId="0" fontId="241" fillId="58" borderId="53" xfId="0" applyFont="1" applyFill="1" applyBorder="1"/>
    <xf numFmtId="176" fontId="241" fillId="58" borderId="53" xfId="4304" applyNumberFormat="1" applyFont="1" applyFill="1" applyBorder="1" applyAlignment="1">
      <alignment horizontal="center" vertical="center" wrapText="1"/>
    </xf>
    <xf numFmtId="167" fontId="241" fillId="58" borderId="53" xfId="39" applyNumberFormat="1" applyFont="1" applyFill="1" applyBorder="1" applyAlignment="1">
      <alignment horizontal="center" vertical="center" wrapText="1"/>
    </xf>
    <xf numFmtId="4" fontId="241" fillId="58" borderId="53" xfId="0" applyNumberFormat="1" applyFont="1" applyFill="1" applyBorder="1"/>
    <xf numFmtId="1" fontId="268" fillId="0" borderId="53" xfId="7" applyNumberFormat="1" applyFont="1" applyFill="1" applyBorder="1" applyAlignment="1">
      <alignment horizontal="left" vertical="center" wrapText="1"/>
    </xf>
    <xf numFmtId="1" fontId="268" fillId="0" borderId="53" xfId="7" applyNumberFormat="1" applyFont="1" applyFill="1" applyBorder="1" applyAlignment="1">
      <alignment horizontal="center" vertical="center" wrapText="1"/>
    </xf>
    <xf numFmtId="0" fontId="248" fillId="0" borderId="53" xfId="5" applyNumberFormat="1" applyFont="1" applyFill="1" applyBorder="1" applyAlignment="1">
      <alignment horizontal="center" vertical="center" wrapText="1"/>
    </xf>
    <xf numFmtId="176" fontId="268" fillId="0" borderId="53" xfId="4304" applyNumberFormat="1" applyFont="1" applyFill="1" applyBorder="1" applyAlignment="1">
      <alignment horizontal="center" vertical="center" wrapText="1"/>
    </xf>
    <xf numFmtId="3" fontId="242" fillId="0" borderId="53" xfId="20" applyNumberFormat="1" applyFont="1" applyFill="1" applyBorder="1" applyAlignment="1">
      <alignment horizontal="right" vertical="center"/>
    </xf>
    <xf numFmtId="181" fontId="248" fillId="3" borderId="53" xfId="1" applyNumberFormat="1" applyFont="1" applyFill="1" applyBorder="1" applyAlignment="1">
      <alignment horizontal="right" vertical="center"/>
    </xf>
    <xf numFmtId="3" fontId="268" fillId="0" borderId="53" xfId="20" applyNumberFormat="1" applyFont="1" applyFill="1" applyBorder="1" applyAlignment="1">
      <alignment horizontal="right" vertical="center"/>
    </xf>
    <xf numFmtId="176" fontId="248" fillId="0" borderId="53" xfId="4304" applyNumberFormat="1" applyFont="1" applyFill="1" applyBorder="1" applyAlignment="1">
      <alignment horizontal="right" vertical="center"/>
    </xf>
    <xf numFmtId="1" fontId="242" fillId="0" borderId="53" xfId="80" applyNumberFormat="1" applyFont="1" applyFill="1" applyBorder="1" applyAlignment="1">
      <alignment horizontal="center" vertical="center"/>
    </xf>
    <xf numFmtId="0" fontId="269" fillId="0" borderId="0" xfId="0" applyFont="1"/>
    <xf numFmtId="0" fontId="269" fillId="0" borderId="53" xfId="0" applyFont="1" applyBorder="1" applyAlignment="1">
      <alignment horizontal="left" vertical="center"/>
    </xf>
    <xf numFmtId="0" fontId="269" fillId="0" borderId="53" xfId="0" applyFont="1" applyBorder="1"/>
    <xf numFmtId="3" fontId="268" fillId="0" borderId="53" xfId="20" applyNumberFormat="1" applyFont="1" applyFill="1" applyBorder="1" applyAlignment="1">
      <alignment horizontal="center" vertical="center" wrapText="1"/>
    </xf>
    <xf numFmtId="176" fontId="248" fillId="0" borderId="53" xfId="4304" applyNumberFormat="1" applyFont="1" applyFill="1" applyBorder="1" applyAlignment="1">
      <alignment horizontal="center" vertical="center" wrapText="1"/>
    </xf>
    <xf numFmtId="0" fontId="248" fillId="2" borderId="53" xfId="5" applyNumberFormat="1" applyFont="1" applyFill="1" applyBorder="1" applyAlignment="1">
      <alignment horizontal="center" vertical="center" wrapText="1"/>
    </xf>
    <xf numFmtId="0" fontId="269" fillId="2" borderId="53" xfId="0" applyFont="1" applyFill="1" applyBorder="1"/>
    <xf numFmtId="4" fontId="269" fillId="2" borderId="53" xfId="0" applyNumberFormat="1" applyFont="1" applyFill="1" applyBorder="1"/>
    <xf numFmtId="176" fontId="259" fillId="0" borderId="1" xfId="49" applyNumberFormat="1" applyFont="1" applyFill="1" applyBorder="1" applyAlignment="1">
      <alignment horizontal="right" vertical="center" wrapText="1"/>
    </xf>
    <xf numFmtId="176" fontId="12" fillId="2" borderId="1" xfId="4304" applyNumberFormat="1" applyFont="1" applyFill="1" applyBorder="1" applyAlignment="1">
      <alignment horizontal="right" vertical="center"/>
    </xf>
    <xf numFmtId="0" fontId="268" fillId="0" borderId="53" xfId="49" applyFont="1" applyFill="1" applyBorder="1" applyAlignment="1">
      <alignment vertical="center" wrapText="1"/>
    </xf>
    <xf numFmtId="0" fontId="268" fillId="0" borderId="53" xfId="49" applyFont="1" applyFill="1" applyBorder="1" applyAlignment="1">
      <alignment horizontal="center" vertical="center" wrapText="1"/>
    </xf>
    <xf numFmtId="1" fontId="268" fillId="0" borderId="53" xfId="80" applyNumberFormat="1" applyFont="1" applyFill="1" applyBorder="1" applyAlignment="1">
      <alignment horizontal="center" vertical="center" wrapText="1"/>
    </xf>
    <xf numFmtId="0" fontId="242" fillId="0" borderId="53" xfId="5" applyNumberFormat="1" applyFont="1" applyFill="1" applyBorder="1" applyAlignment="1">
      <alignment horizontal="center" vertical="center" wrapText="1"/>
    </xf>
    <xf numFmtId="176" fontId="268" fillId="0" borderId="4" xfId="49" applyNumberFormat="1" applyFont="1" applyFill="1" applyBorder="1" applyAlignment="1">
      <alignment horizontal="right" vertical="center" wrapText="1"/>
    </xf>
    <xf numFmtId="1" fontId="248" fillId="0" borderId="53" xfId="80" applyNumberFormat="1" applyFont="1" applyFill="1" applyBorder="1" applyAlignment="1">
      <alignment vertical="center"/>
    </xf>
    <xf numFmtId="176" fontId="268" fillId="0" borderId="53" xfId="4305" applyNumberFormat="1" applyFont="1" applyFill="1" applyBorder="1" applyAlignment="1">
      <alignment horizontal="center" vertical="center" wrapText="1"/>
    </xf>
    <xf numFmtId="0" fontId="242" fillId="2" borderId="53" xfId="5" applyNumberFormat="1" applyFont="1" applyFill="1" applyBorder="1" applyAlignment="1">
      <alignment horizontal="center" vertical="center" wrapText="1"/>
    </xf>
    <xf numFmtId="0" fontId="259" fillId="0" borderId="1" xfId="0" applyFont="1" applyFill="1" applyBorder="1" applyAlignment="1">
      <alignment horizontal="left" vertical="center" wrapText="1"/>
    </xf>
    <xf numFmtId="0" fontId="259" fillId="0" borderId="1" xfId="0" applyFont="1" applyFill="1" applyBorder="1" applyAlignment="1">
      <alignment horizontal="center" vertical="center" wrapText="1"/>
    </xf>
    <xf numFmtId="176" fontId="259" fillId="2" borderId="1" xfId="4304" applyNumberFormat="1" applyFont="1" applyFill="1" applyBorder="1" applyAlignment="1">
      <alignment horizontal="right" vertical="center"/>
    </xf>
    <xf numFmtId="1" fontId="241" fillId="0" borderId="1" xfId="22" applyNumberFormat="1" applyFont="1" applyFill="1" applyBorder="1" applyAlignment="1">
      <alignment horizontal="left" vertical="center" wrapText="1"/>
    </xf>
    <xf numFmtId="1" fontId="241" fillId="0" borderId="1" xfId="22" applyNumberFormat="1" applyFont="1" applyFill="1" applyBorder="1" applyAlignment="1">
      <alignment horizontal="center" vertical="center" wrapText="1"/>
    </xf>
    <xf numFmtId="1" fontId="12" fillId="0" borderId="1" xfId="80" applyNumberFormat="1" applyFont="1" applyFill="1" applyBorder="1" applyAlignment="1">
      <alignment vertical="center" wrapText="1"/>
    </xf>
    <xf numFmtId="3" fontId="12" fillId="0" borderId="1" xfId="80" applyNumberFormat="1" applyFont="1" applyFill="1" applyBorder="1" applyAlignment="1">
      <alignment vertical="center"/>
    </xf>
    <xf numFmtId="1" fontId="12" fillId="0" borderId="1" xfId="80" applyNumberFormat="1" applyFont="1" applyFill="1" applyBorder="1" applyAlignment="1">
      <alignment vertical="center"/>
    </xf>
    <xf numFmtId="176" fontId="241" fillId="0" borderId="2" xfId="4305" applyNumberFormat="1" applyFont="1" applyFill="1" applyBorder="1" applyAlignment="1">
      <alignment horizontal="center" vertical="center" wrapText="1"/>
    </xf>
    <xf numFmtId="0" fontId="241" fillId="0" borderId="1" xfId="49" applyFont="1" applyFill="1" applyBorder="1" applyAlignment="1">
      <alignment horizontal="center" vertical="center" wrapText="1"/>
    </xf>
    <xf numFmtId="1" fontId="259" fillId="2" borderId="1" xfId="80" applyNumberFormat="1" applyFont="1" applyFill="1" applyBorder="1" applyAlignment="1">
      <alignment horizontal="center" vertical="center" wrapText="1"/>
    </xf>
    <xf numFmtId="0" fontId="241" fillId="0" borderId="1" xfId="0" applyFont="1" applyFill="1" applyBorder="1" applyAlignment="1">
      <alignment horizontal="left" vertical="center" wrapText="1"/>
    </xf>
    <xf numFmtId="0" fontId="241" fillId="0" borderId="1" xfId="0" applyFont="1" applyFill="1" applyBorder="1" applyAlignment="1">
      <alignment horizontal="center" vertical="center" wrapText="1"/>
    </xf>
    <xf numFmtId="1" fontId="241" fillId="59" borderId="53" xfId="7" quotePrefix="1" applyNumberFormat="1" applyFont="1" applyFill="1" applyBorder="1" applyAlignment="1">
      <alignment horizontal="center" vertical="center" wrapText="1"/>
    </xf>
    <xf numFmtId="176" fontId="241" fillId="0" borderId="1" xfId="49" applyNumberFormat="1" applyFont="1" applyFill="1" applyBorder="1" applyAlignment="1">
      <alignment horizontal="right" vertical="center" wrapText="1"/>
    </xf>
    <xf numFmtId="1" fontId="242" fillId="2" borderId="1" xfId="7" quotePrefix="1" applyNumberFormat="1" applyFont="1" applyFill="1" applyBorder="1" applyAlignment="1">
      <alignment horizontal="center" vertical="center" wrapText="1"/>
    </xf>
    <xf numFmtId="176" fontId="241" fillId="0" borderId="1" xfId="4305" applyNumberFormat="1" applyFont="1" applyFill="1" applyBorder="1" applyAlignment="1">
      <alignment horizontal="center" vertical="center" wrapText="1"/>
    </xf>
    <xf numFmtId="1" fontId="241" fillId="2" borderId="1" xfId="7" quotePrefix="1" applyNumberFormat="1" applyFont="1" applyFill="1" applyBorder="1" applyAlignment="1">
      <alignment horizontal="center" vertical="center" wrapText="1"/>
    </xf>
    <xf numFmtId="1" fontId="264" fillId="0" borderId="1" xfId="80" applyNumberFormat="1" applyFont="1" applyFill="1" applyBorder="1" applyAlignment="1">
      <alignment horizontal="left" vertical="center" wrapText="1"/>
    </xf>
    <xf numFmtId="176" fontId="264" fillId="0" borderId="1" xfId="49" applyNumberFormat="1" applyFont="1" applyFill="1" applyBorder="1" applyAlignment="1">
      <alignment horizontal="right" vertical="center" wrapText="1"/>
    </xf>
    <xf numFmtId="1" fontId="240" fillId="2" borderId="1" xfId="80" applyNumberFormat="1" applyFont="1" applyFill="1" applyBorder="1" applyAlignment="1">
      <alignment horizontal="center" vertical="center"/>
    </xf>
    <xf numFmtId="1" fontId="242" fillId="0" borderId="53" xfId="80" applyNumberFormat="1" applyFont="1" applyFill="1" applyBorder="1" applyAlignment="1">
      <alignment horizontal="left" vertical="center" wrapText="1"/>
    </xf>
    <xf numFmtId="1" fontId="242" fillId="0" borderId="53" xfId="80" applyNumberFormat="1" applyFont="1" applyFill="1" applyBorder="1" applyAlignment="1">
      <alignment horizontal="center" vertical="center" wrapText="1"/>
    </xf>
    <xf numFmtId="176" fontId="242" fillId="0" borderId="53" xfId="49" applyNumberFormat="1" applyFont="1" applyFill="1" applyBorder="1" applyAlignment="1">
      <alignment horizontal="right" vertical="center" wrapText="1"/>
    </xf>
    <xf numFmtId="0" fontId="270" fillId="0" borderId="0" xfId="0" applyFont="1"/>
    <xf numFmtId="0" fontId="270" fillId="0" borderId="53" xfId="0" applyFont="1" applyBorder="1" applyAlignment="1">
      <alignment horizontal="left" vertical="center"/>
    </xf>
    <xf numFmtId="0" fontId="270" fillId="0" borderId="53" xfId="0" applyFont="1" applyBorder="1"/>
    <xf numFmtId="0" fontId="270" fillId="2" borderId="53" xfId="0" applyFont="1" applyFill="1" applyBorder="1"/>
    <xf numFmtId="1" fontId="248" fillId="2" borderId="53" xfId="80" applyNumberFormat="1" applyFont="1" applyFill="1" applyBorder="1" applyAlignment="1">
      <alignment horizontal="center" vertical="center"/>
    </xf>
    <xf numFmtId="4" fontId="270" fillId="2" borderId="53" xfId="0" applyNumberFormat="1" applyFont="1" applyFill="1" applyBorder="1"/>
    <xf numFmtId="0" fontId="12" fillId="53" borderId="1" xfId="5" applyNumberFormat="1" applyFont="1" applyFill="1" applyBorder="1" applyAlignment="1">
      <alignment horizontal="center" vertical="center" wrapText="1"/>
    </xf>
    <xf numFmtId="1" fontId="248" fillId="0" borderId="53" xfId="80" applyNumberFormat="1" applyFont="1" applyFill="1" applyBorder="1" applyAlignment="1">
      <alignment vertical="center" wrapText="1"/>
    </xf>
    <xf numFmtId="3" fontId="248" fillId="0" borderId="53" xfId="80" applyNumberFormat="1" applyFont="1" applyFill="1" applyBorder="1" applyAlignment="1">
      <alignment vertical="center"/>
    </xf>
    <xf numFmtId="176" fontId="241" fillId="0" borderId="1" xfId="4304" applyNumberFormat="1" applyFont="1" applyFill="1" applyBorder="1" applyAlignment="1">
      <alignment horizontal="right" vertical="center"/>
    </xf>
    <xf numFmtId="1" fontId="264" fillId="0" borderId="1" xfId="80" applyNumberFormat="1" applyFont="1" applyFill="1" applyBorder="1" applyAlignment="1">
      <alignment vertical="center"/>
    </xf>
    <xf numFmtId="0" fontId="12" fillId="0" borderId="1" xfId="0" applyFont="1" applyFill="1" applyBorder="1" applyAlignment="1">
      <alignment horizontal="left" vertical="center" wrapText="1"/>
    </xf>
    <xf numFmtId="0" fontId="12" fillId="59" borderId="53" xfId="0" applyFont="1" applyFill="1" applyBorder="1" applyAlignment="1">
      <alignment horizontal="center" vertical="center" wrapText="1"/>
    </xf>
    <xf numFmtId="176" fontId="12" fillId="0" borderId="1" xfId="49" applyNumberFormat="1" applyFont="1" applyFill="1" applyBorder="1" applyAlignment="1">
      <alignment horizontal="right" vertical="center" wrapText="1"/>
    </xf>
    <xf numFmtId="3" fontId="12" fillId="0" borderId="1" xfId="0" applyNumberFormat="1" applyFont="1" applyFill="1" applyBorder="1" applyAlignment="1">
      <alignment horizontal="right" vertical="center"/>
    </xf>
    <xf numFmtId="1" fontId="12" fillId="0" borderId="2" xfId="80" applyNumberFormat="1" applyFont="1" applyFill="1" applyBorder="1" applyAlignment="1">
      <alignment horizontal="center" vertical="center"/>
    </xf>
    <xf numFmtId="1" fontId="12" fillId="54" borderId="1" xfId="80" applyNumberFormat="1" applyFont="1" applyFill="1" applyBorder="1" applyAlignment="1">
      <alignment vertical="center"/>
    </xf>
    <xf numFmtId="1" fontId="241" fillId="0" borderId="53" xfId="7" quotePrefix="1" applyNumberFormat="1" applyFont="1" applyFill="1" applyBorder="1" applyAlignment="1">
      <alignment horizontal="center" vertical="center" wrapText="1"/>
    </xf>
    <xf numFmtId="1" fontId="12" fillId="55" borderId="1" xfId="7" quotePrefix="1" applyNumberFormat="1" applyFont="1" applyFill="1" applyBorder="1" applyAlignment="1">
      <alignment horizontal="center" vertical="center" wrapText="1"/>
    </xf>
    <xf numFmtId="1" fontId="271" fillId="0" borderId="1" xfId="80" applyNumberFormat="1" applyFont="1" applyFill="1" applyBorder="1" applyAlignment="1">
      <alignment horizontal="center" vertical="center" wrapText="1"/>
    </xf>
    <xf numFmtId="0" fontId="12" fillId="2" borderId="53" xfId="5" applyNumberFormat="1" applyFont="1" applyFill="1" applyBorder="1" applyAlignment="1">
      <alignment horizontal="center" vertical="center"/>
    </xf>
    <xf numFmtId="0" fontId="241" fillId="2" borderId="53" xfId="0" applyFont="1" applyFill="1" applyBorder="1" applyAlignment="1">
      <alignment horizontal="left" vertical="center" wrapText="1"/>
    </xf>
    <xf numFmtId="0" fontId="259" fillId="2" borderId="53" xfId="49" applyFont="1" applyFill="1" applyBorder="1" applyAlignment="1">
      <alignment horizontal="center" vertical="center" wrapText="1"/>
    </xf>
    <xf numFmtId="1" fontId="241" fillId="2" borderId="53" xfId="80" applyNumberFormat="1" applyFont="1" applyFill="1" applyBorder="1" applyAlignment="1">
      <alignment horizontal="center" vertical="center" wrapText="1"/>
    </xf>
    <xf numFmtId="176" fontId="241" fillId="2" borderId="53" xfId="49" applyNumberFormat="1" applyFont="1" applyFill="1" applyBorder="1" applyAlignment="1">
      <alignment horizontal="right" vertical="center" wrapText="1"/>
    </xf>
    <xf numFmtId="3" fontId="241" fillId="2" borderId="53" xfId="0" applyNumberFormat="1" applyFont="1" applyFill="1" applyBorder="1" applyAlignment="1">
      <alignment horizontal="right" vertical="center"/>
    </xf>
    <xf numFmtId="176" fontId="12" fillId="2" borderId="53" xfId="1" applyNumberFormat="1" applyFont="1" applyFill="1" applyBorder="1" applyAlignment="1">
      <alignment horizontal="right" vertical="center"/>
    </xf>
    <xf numFmtId="0" fontId="241" fillId="2" borderId="53" xfId="49" applyFont="1" applyFill="1" applyBorder="1" applyAlignment="1">
      <alignment horizontal="center" vertical="center" wrapText="1"/>
    </xf>
    <xf numFmtId="176" fontId="241" fillId="2" borderId="53" xfId="1" applyNumberFormat="1" applyFont="1" applyFill="1" applyBorder="1" applyAlignment="1">
      <alignment horizontal="center" vertical="center" wrapText="1"/>
    </xf>
    <xf numFmtId="0" fontId="12" fillId="2" borderId="53" xfId="0" applyFont="1" applyFill="1" applyBorder="1" applyAlignment="1">
      <alignment horizontal="center" vertical="center" wrapText="1"/>
    </xf>
    <xf numFmtId="176" fontId="241" fillId="2" borderId="0" xfId="1" applyNumberFormat="1" applyFont="1" applyFill="1" applyBorder="1" applyAlignment="1">
      <alignment horizontal="center" vertical="center" wrapText="1"/>
    </xf>
    <xf numFmtId="0" fontId="12" fillId="2" borderId="0" xfId="0" applyFont="1" applyFill="1" applyBorder="1" applyAlignment="1">
      <alignment horizontal="center" vertical="center" wrapText="1"/>
    </xf>
    <xf numFmtId="176" fontId="242" fillId="3" borderId="1" xfId="1" applyNumberFormat="1" applyFont="1" applyFill="1" applyBorder="1" applyAlignment="1">
      <alignment horizontal="center" vertical="center" wrapText="1"/>
    </xf>
    <xf numFmtId="181" fontId="242" fillId="3" borderId="1" xfId="1" applyNumberFormat="1" applyFont="1" applyFill="1" applyBorder="1" applyAlignment="1">
      <alignment horizontal="center" vertical="center" wrapText="1"/>
    </xf>
    <xf numFmtId="0" fontId="12" fillId="0" borderId="1" xfId="47" applyFont="1" applyFill="1" applyBorder="1" applyAlignment="1">
      <alignment vertical="center" wrapText="1"/>
    </xf>
    <xf numFmtId="181" fontId="12" fillId="0" borderId="1" xfId="16" applyNumberFormat="1" applyFont="1" applyFill="1" applyBorder="1" applyAlignment="1">
      <alignment horizontal="right" vertical="center"/>
    </xf>
    <xf numFmtId="176" fontId="264" fillId="0" borderId="1" xfId="4305" applyNumberFormat="1" applyFont="1" applyFill="1" applyBorder="1" applyAlignment="1">
      <alignment horizontal="right" vertical="center"/>
    </xf>
    <xf numFmtId="1" fontId="241" fillId="0" borderId="1" xfId="80" applyNumberFormat="1" applyFont="1" applyFill="1" applyBorder="1" applyAlignment="1">
      <alignment vertical="center"/>
    </xf>
    <xf numFmtId="3" fontId="240" fillId="0" borderId="1" xfId="80" applyNumberFormat="1" applyFont="1" applyFill="1" applyBorder="1" applyAlignment="1">
      <alignment vertical="center" wrapText="1"/>
    </xf>
    <xf numFmtId="1" fontId="242" fillId="0" borderId="53" xfId="80" applyNumberFormat="1" applyFont="1" applyFill="1" applyBorder="1" applyAlignment="1">
      <alignment vertical="center" wrapText="1"/>
    </xf>
    <xf numFmtId="176" fontId="242" fillId="0" borderId="53" xfId="4305" applyNumberFormat="1" applyFont="1" applyFill="1" applyBorder="1" applyAlignment="1">
      <alignment horizontal="right" vertical="center"/>
    </xf>
    <xf numFmtId="181" fontId="252" fillId="3" borderId="53" xfId="1" applyNumberFormat="1" applyFont="1" applyFill="1" applyBorder="1" applyAlignment="1">
      <alignment horizontal="right" vertical="center"/>
    </xf>
    <xf numFmtId="1" fontId="272" fillId="0" borderId="53" xfId="80" applyNumberFormat="1" applyFont="1" applyFill="1" applyBorder="1" applyAlignment="1">
      <alignment vertical="center"/>
    </xf>
    <xf numFmtId="3" fontId="248" fillId="0" borderId="53" xfId="80" applyNumberFormat="1" applyFont="1" applyFill="1" applyBorder="1" applyAlignment="1">
      <alignment vertical="center" wrapText="1"/>
    </xf>
    <xf numFmtId="1" fontId="242" fillId="2" borderId="53" xfId="80" applyNumberFormat="1" applyFont="1" applyFill="1" applyBorder="1" applyAlignment="1">
      <alignment horizontal="center" vertical="center" wrapText="1"/>
    </xf>
    <xf numFmtId="3" fontId="259" fillId="2" borderId="1" xfId="20" applyNumberFormat="1" applyFont="1" applyFill="1" applyBorder="1" applyAlignment="1">
      <alignment horizontal="right" vertical="center"/>
    </xf>
    <xf numFmtId="176" fontId="12" fillId="2" borderId="1" xfId="1" applyNumberFormat="1" applyFont="1" applyFill="1" applyBorder="1" applyAlignment="1">
      <alignment horizontal="right" vertical="center"/>
    </xf>
    <xf numFmtId="3" fontId="12" fillId="0" borderId="1" xfId="80" applyNumberFormat="1" applyFont="1" applyFill="1" applyBorder="1" applyAlignment="1">
      <alignment horizontal="center" vertical="center" wrapText="1"/>
    </xf>
    <xf numFmtId="176" fontId="259" fillId="0" borderId="1" xfId="1" applyNumberFormat="1" applyFont="1" applyFill="1" applyBorder="1" applyAlignment="1">
      <alignment horizontal="center" vertical="center" wrapText="1"/>
    </xf>
    <xf numFmtId="1" fontId="12" fillId="2" borderId="1" xfId="80" applyNumberFormat="1" applyFont="1" applyFill="1" applyBorder="1" applyAlignment="1">
      <alignment horizontal="center" vertical="center"/>
    </xf>
    <xf numFmtId="0" fontId="259" fillId="2" borderId="1" xfId="49" applyFont="1" applyFill="1" applyBorder="1" applyAlignment="1">
      <alignment vertical="center" wrapText="1"/>
    </xf>
    <xf numFmtId="0" fontId="259" fillId="2" borderId="1" xfId="49" applyFont="1" applyFill="1" applyBorder="1" applyAlignment="1">
      <alignment horizontal="center" vertical="center" wrapText="1"/>
    </xf>
    <xf numFmtId="176" fontId="259" fillId="2" borderId="1" xfId="49" applyNumberFormat="1" applyFont="1" applyFill="1" applyBorder="1" applyAlignment="1">
      <alignment horizontal="right" vertical="center" wrapText="1"/>
    </xf>
    <xf numFmtId="176" fontId="259" fillId="2" borderId="53" xfId="1" applyNumberFormat="1" applyFont="1" applyFill="1" applyBorder="1" applyAlignment="1">
      <alignment horizontal="center" vertical="center" wrapText="1"/>
    </xf>
    <xf numFmtId="1" fontId="12" fillId="2" borderId="53" xfId="80" applyNumberFormat="1" applyFont="1" applyFill="1" applyBorder="1" applyAlignment="1">
      <alignment horizontal="center" vertical="center"/>
    </xf>
    <xf numFmtId="0" fontId="259" fillId="2" borderId="53" xfId="49" applyFont="1" applyFill="1" applyBorder="1" applyAlignment="1">
      <alignment vertical="center" wrapText="1"/>
    </xf>
    <xf numFmtId="176" fontId="259" fillId="2" borderId="53" xfId="49" applyNumberFormat="1" applyFont="1" applyFill="1" applyBorder="1" applyAlignment="1">
      <alignment horizontal="right" vertical="center" wrapText="1"/>
    </xf>
    <xf numFmtId="3" fontId="259" fillId="2" borderId="53" xfId="20" applyNumberFormat="1" applyFont="1" applyFill="1" applyBorder="1" applyAlignment="1">
      <alignment horizontal="right" vertical="center"/>
    </xf>
    <xf numFmtId="1" fontId="12" fillId="2" borderId="53" xfId="80" applyNumberFormat="1" applyFont="1" applyFill="1" applyBorder="1" applyAlignment="1">
      <alignment horizontal="center" vertical="center" wrapText="1"/>
    </xf>
    <xf numFmtId="0" fontId="241" fillId="2" borderId="53" xfId="5" applyNumberFormat="1" applyFont="1" applyFill="1" applyBorder="1" applyAlignment="1">
      <alignment horizontal="center" vertical="center"/>
    </xf>
    <xf numFmtId="1" fontId="241" fillId="59" borderId="53" xfId="80" applyNumberFormat="1" applyFont="1" applyFill="1" applyBorder="1" applyAlignment="1">
      <alignment horizontal="center" vertical="center" wrapText="1"/>
    </xf>
    <xf numFmtId="3" fontId="12" fillId="2" borderId="53" xfId="80" applyNumberFormat="1" applyFont="1" applyFill="1" applyBorder="1" applyAlignment="1">
      <alignment horizontal="center" vertical="center" wrapText="1"/>
    </xf>
    <xf numFmtId="1" fontId="12" fillId="61" borderId="1" xfId="80" applyNumberFormat="1" applyFont="1" applyFill="1" applyBorder="1" applyAlignment="1">
      <alignment horizontal="center" vertical="center"/>
    </xf>
    <xf numFmtId="0" fontId="12" fillId="61" borderId="1" xfId="49" applyFont="1" applyFill="1" applyBorder="1" applyAlignment="1">
      <alignment vertical="center" wrapText="1"/>
    </xf>
    <xf numFmtId="0" fontId="12" fillId="61" borderId="1" xfId="49" applyFont="1" applyFill="1" applyBorder="1" applyAlignment="1">
      <alignment horizontal="center" vertical="center" wrapText="1"/>
    </xf>
    <xf numFmtId="1" fontId="12" fillId="61" borderId="1" xfId="80" applyNumberFormat="1" applyFont="1" applyFill="1" applyBorder="1" applyAlignment="1">
      <alignment horizontal="center" vertical="center" wrapText="1"/>
    </xf>
    <xf numFmtId="176" fontId="12" fillId="61" borderId="1" xfId="49" applyNumberFormat="1" applyFont="1" applyFill="1" applyBorder="1" applyAlignment="1">
      <alignment horizontal="right" vertical="center" wrapText="1"/>
    </xf>
    <xf numFmtId="181" fontId="12" fillId="61" borderId="1" xfId="1" applyNumberFormat="1" applyFont="1" applyFill="1" applyBorder="1" applyAlignment="1">
      <alignment horizontal="right" vertical="center"/>
    </xf>
    <xf numFmtId="176" fontId="12" fillId="61" borderId="1" xfId="1" applyNumberFormat="1" applyFont="1" applyFill="1" applyBorder="1" applyAlignment="1">
      <alignment horizontal="right" vertical="center"/>
    </xf>
    <xf numFmtId="176" fontId="12" fillId="61" borderId="1" xfId="4305" applyNumberFormat="1" applyFont="1" applyFill="1" applyBorder="1" applyAlignment="1">
      <alignment horizontal="right" vertical="center"/>
    </xf>
    <xf numFmtId="3" fontId="12" fillId="61" borderId="1" xfId="80" applyNumberFormat="1" applyFont="1" applyFill="1" applyBorder="1" applyAlignment="1">
      <alignment vertical="center" wrapText="1"/>
    </xf>
    <xf numFmtId="176" fontId="259" fillId="61" borderId="1" xfId="1" applyNumberFormat="1" applyFont="1" applyFill="1" applyBorder="1" applyAlignment="1">
      <alignment horizontal="center" vertical="center" wrapText="1"/>
    </xf>
    <xf numFmtId="0" fontId="241" fillId="0" borderId="53" xfId="5" applyNumberFormat="1" applyFont="1" applyFill="1" applyBorder="1" applyAlignment="1">
      <alignment horizontal="center" vertical="center"/>
    </xf>
    <xf numFmtId="0" fontId="259" fillId="0" borderId="53" xfId="49" applyFont="1" applyFill="1" applyBorder="1" applyAlignment="1">
      <alignment vertical="center" wrapText="1"/>
    </xf>
    <xf numFmtId="0" fontId="259" fillId="0" borderId="53" xfId="49" applyFont="1" applyFill="1" applyBorder="1" applyAlignment="1">
      <alignment horizontal="center" vertical="center" wrapText="1"/>
    </xf>
    <xf numFmtId="1" fontId="241" fillId="0" borderId="53" xfId="80" applyNumberFormat="1" applyFont="1" applyFill="1" applyBorder="1" applyAlignment="1">
      <alignment horizontal="center" vertical="center" wrapText="1"/>
    </xf>
    <xf numFmtId="176" fontId="259" fillId="0" borderId="53" xfId="49" applyNumberFormat="1" applyFont="1" applyFill="1" applyBorder="1" applyAlignment="1">
      <alignment horizontal="right" vertical="center" wrapText="1"/>
    </xf>
    <xf numFmtId="3" fontId="259" fillId="0" borderId="53" xfId="20" applyNumberFormat="1" applyFont="1" applyFill="1" applyBorder="1" applyAlignment="1">
      <alignment horizontal="right" vertical="center"/>
    </xf>
    <xf numFmtId="1" fontId="12" fillId="0" borderId="53" xfId="80" applyNumberFormat="1" applyFont="1" applyFill="1" applyBorder="1" applyAlignment="1">
      <alignment horizontal="center" vertical="center" wrapText="1"/>
    </xf>
    <xf numFmtId="3" fontId="12" fillId="0" borderId="53" xfId="80" applyNumberFormat="1" applyFont="1" applyFill="1" applyBorder="1" applyAlignment="1">
      <alignment horizontal="center" vertical="center" wrapText="1"/>
    </xf>
    <xf numFmtId="176" fontId="259" fillId="0" borderId="53" xfId="1" applyNumberFormat="1" applyFont="1" applyFill="1" applyBorder="1" applyAlignment="1">
      <alignment horizontal="center" vertical="center" wrapText="1"/>
    </xf>
    <xf numFmtId="0" fontId="12" fillId="0" borderId="1" xfId="49" applyFont="1" applyFill="1" applyBorder="1" applyAlignment="1">
      <alignment vertical="center" wrapText="1"/>
    </xf>
    <xf numFmtId="0" fontId="12" fillId="0" borderId="1" xfId="49" applyFont="1" applyFill="1" applyBorder="1" applyAlignment="1">
      <alignment horizontal="center" vertical="center" wrapText="1"/>
    </xf>
    <xf numFmtId="176" fontId="12" fillId="56" borderId="1" xfId="1" applyNumberFormat="1" applyFont="1" applyFill="1" applyBorder="1" applyAlignment="1">
      <alignment horizontal="right" vertical="center"/>
    </xf>
    <xf numFmtId="176" fontId="12" fillId="0" borderId="1" xfId="4305" applyNumberFormat="1" applyFont="1" applyFill="1" applyBorder="1" applyAlignment="1">
      <alignment horizontal="right" vertical="center"/>
    </xf>
    <xf numFmtId="3" fontId="12" fillId="0" borderId="1" xfId="80" applyNumberFormat="1" applyFont="1" applyFill="1" applyBorder="1" applyAlignment="1">
      <alignment vertical="center" wrapText="1"/>
    </xf>
    <xf numFmtId="0" fontId="12" fillId="0" borderId="53" xfId="5" applyNumberFormat="1" applyFont="1" applyFill="1" applyBorder="1" applyAlignment="1">
      <alignment horizontal="center" vertical="center"/>
    </xf>
    <xf numFmtId="0" fontId="259" fillId="0" borderId="53" xfId="5" applyNumberFormat="1" applyFont="1" applyFill="1" applyBorder="1" applyAlignment="1">
      <alignment horizontal="center" vertical="center" wrapText="1"/>
    </xf>
    <xf numFmtId="1" fontId="259" fillId="0" borderId="53" xfId="80" applyNumberFormat="1" applyFont="1" applyFill="1" applyBorder="1" applyAlignment="1">
      <alignment horizontal="center" vertical="center" wrapText="1"/>
    </xf>
    <xf numFmtId="3" fontId="12" fillId="0" borderId="53" xfId="20" applyNumberFormat="1" applyFont="1" applyFill="1" applyBorder="1" applyAlignment="1">
      <alignment horizontal="right" vertical="center"/>
    </xf>
    <xf numFmtId="3" fontId="259" fillId="0" borderId="53" xfId="20" applyNumberFormat="1" applyFont="1" applyFill="1" applyBorder="1" applyAlignment="1">
      <alignment horizontal="center" vertical="center" wrapText="1"/>
    </xf>
    <xf numFmtId="0" fontId="241" fillId="0" borderId="53" xfId="0" applyFont="1" applyFill="1" applyBorder="1" applyAlignment="1">
      <alignment horizontal="left" vertical="center" wrapText="1"/>
    </xf>
    <xf numFmtId="0" fontId="241" fillId="0" borderId="53" xfId="0" applyFont="1" applyFill="1" applyBorder="1" applyAlignment="1">
      <alignment horizontal="center" vertical="center" wrapText="1"/>
    </xf>
    <xf numFmtId="176" fontId="241" fillId="0" borderId="53" xfId="49" applyNumberFormat="1" applyFont="1" applyFill="1" applyBorder="1" applyAlignment="1">
      <alignment horizontal="right" vertical="center" wrapText="1"/>
    </xf>
    <xf numFmtId="3" fontId="241" fillId="0" borderId="53" xfId="0" applyNumberFormat="1" applyFont="1" applyFill="1" applyBorder="1" applyAlignment="1">
      <alignment horizontal="right" vertical="center"/>
    </xf>
    <xf numFmtId="181" fontId="241" fillId="0" borderId="53" xfId="1742" applyNumberFormat="1" applyFont="1" applyFill="1" applyBorder="1" applyAlignment="1">
      <alignment vertical="center"/>
    </xf>
    <xf numFmtId="181" fontId="241" fillId="0" borderId="53" xfId="1742" applyNumberFormat="1" applyFont="1" applyFill="1" applyBorder="1" applyAlignment="1">
      <alignment horizontal="center" vertical="center" wrapText="1"/>
    </xf>
    <xf numFmtId="181" fontId="259" fillId="0" borderId="53" xfId="1742" applyNumberFormat="1" applyFont="1" applyFill="1" applyBorder="1" applyAlignment="1">
      <alignment horizontal="center" vertical="center" wrapText="1"/>
    </xf>
    <xf numFmtId="1" fontId="241" fillId="0" borderId="53" xfId="80" applyNumberFormat="1" applyFont="1" applyFill="1" applyBorder="1" applyAlignment="1">
      <alignment vertical="center" wrapText="1"/>
    </xf>
    <xf numFmtId="1" fontId="241" fillId="0" borderId="53" xfId="80" applyNumberFormat="1" applyFont="1" applyFill="1" applyBorder="1" applyAlignment="1">
      <alignment horizontal="center" vertical="center"/>
    </xf>
    <xf numFmtId="3" fontId="241" fillId="0" borderId="53" xfId="80" applyNumberFormat="1" applyFont="1" applyFill="1" applyBorder="1" applyAlignment="1">
      <alignment vertical="center"/>
    </xf>
    <xf numFmtId="1" fontId="241" fillId="0" borderId="53" xfId="80" applyNumberFormat="1" applyFont="1" applyFill="1" applyBorder="1" applyAlignment="1">
      <alignment vertical="center"/>
    </xf>
    <xf numFmtId="0" fontId="12" fillId="52" borderId="1" xfId="47" applyFont="1" applyFill="1" applyBorder="1" applyAlignment="1">
      <alignment horizontal="center" vertical="center" wrapText="1"/>
    </xf>
    <xf numFmtId="1" fontId="12" fillId="52" borderId="1" xfId="53" applyNumberFormat="1" applyFont="1" applyFill="1" applyBorder="1" applyAlignment="1">
      <alignment vertical="center" wrapText="1"/>
    </xf>
    <xf numFmtId="1" fontId="12" fillId="52" borderId="4" xfId="53" applyNumberFormat="1" applyFont="1" applyFill="1" applyBorder="1" applyAlignment="1">
      <alignment vertical="center" wrapText="1"/>
    </xf>
    <xf numFmtId="1" fontId="12" fillId="52" borderId="1" xfId="7" applyNumberFormat="1" applyFont="1" applyFill="1" applyBorder="1" applyAlignment="1">
      <alignment horizontal="center" vertical="center" wrapText="1"/>
    </xf>
    <xf numFmtId="0" fontId="241" fillId="52" borderId="1" xfId="47" applyFont="1" applyFill="1" applyBorder="1" applyAlignment="1">
      <alignment horizontal="center" vertical="center"/>
    </xf>
    <xf numFmtId="0" fontId="241" fillId="52" borderId="1" xfId="16" applyNumberFormat="1" applyFont="1" applyFill="1" applyBorder="1" applyAlignment="1">
      <alignment horizontal="center" vertical="center"/>
    </xf>
    <xf numFmtId="181" fontId="12" fillId="52" borderId="1" xfId="16" applyNumberFormat="1" applyFont="1" applyFill="1" applyBorder="1" applyAlignment="1">
      <alignment horizontal="right" vertical="center" wrapText="1"/>
    </xf>
    <xf numFmtId="181" fontId="12" fillId="52" borderId="1" xfId="16" applyNumberFormat="1" applyFont="1" applyFill="1" applyBorder="1" applyAlignment="1">
      <alignment horizontal="right" vertical="center"/>
    </xf>
    <xf numFmtId="181" fontId="12" fillId="52" borderId="1" xfId="1" applyNumberFormat="1" applyFont="1" applyFill="1" applyBorder="1" applyAlignment="1">
      <alignment horizontal="right" vertical="center"/>
    </xf>
    <xf numFmtId="0" fontId="265" fillId="2" borderId="1" xfId="2" applyNumberFormat="1" applyFont="1" applyFill="1" applyBorder="1" applyAlignment="1">
      <alignment horizontal="center" vertical="center" wrapText="1"/>
    </xf>
    <xf numFmtId="0" fontId="265" fillId="2" borderId="1" xfId="2" applyNumberFormat="1" applyFont="1" applyFill="1" applyBorder="1" applyAlignment="1">
      <alignment horizontal="left" vertical="center" wrapText="1"/>
    </xf>
    <xf numFmtId="0" fontId="265" fillId="2" borderId="4" xfId="2" applyNumberFormat="1" applyFont="1" applyFill="1" applyBorder="1" applyAlignment="1">
      <alignment horizontal="center" vertical="center" wrapText="1"/>
    </xf>
    <xf numFmtId="183" fontId="265" fillId="2" borderId="1" xfId="2" applyNumberFormat="1" applyFont="1" applyFill="1" applyBorder="1" applyAlignment="1">
      <alignment horizontal="center" vertical="center" wrapText="1"/>
    </xf>
    <xf numFmtId="49" fontId="265" fillId="2" borderId="1" xfId="2" applyNumberFormat="1" applyFont="1" applyFill="1" applyBorder="1" applyAlignment="1">
      <alignment horizontal="center" vertical="center" wrapText="1"/>
    </xf>
    <xf numFmtId="176" fontId="265" fillId="2" borderId="1" xfId="1" applyNumberFormat="1" applyFont="1" applyFill="1" applyBorder="1" applyAlignment="1">
      <alignment vertical="center"/>
    </xf>
    <xf numFmtId="181" fontId="265" fillId="2" borderId="1" xfId="1" applyNumberFormat="1" applyFont="1" applyFill="1" applyBorder="1" applyAlignment="1">
      <alignment vertical="center"/>
    </xf>
    <xf numFmtId="0" fontId="266" fillId="0" borderId="1" xfId="5" applyNumberFormat="1" applyFont="1" applyFill="1" applyBorder="1" applyAlignment="1">
      <alignment horizontal="center" vertical="center"/>
    </xf>
    <xf numFmtId="1" fontId="266" fillId="0" borderId="1" xfId="18" applyNumberFormat="1" applyFont="1" applyFill="1" applyBorder="1" applyAlignment="1">
      <alignment horizontal="left" vertical="center" wrapText="1"/>
    </xf>
    <xf numFmtId="172" fontId="266" fillId="0" borderId="1" xfId="23" applyNumberFormat="1" applyFont="1" applyFill="1" applyBorder="1" applyAlignment="1">
      <alignment horizontal="right" vertical="center" wrapText="1"/>
    </xf>
    <xf numFmtId="0" fontId="266" fillId="0" borderId="1" xfId="2" applyNumberFormat="1" applyFont="1" applyFill="1" applyBorder="1" applyAlignment="1">
      <alignment horizontal="center" vertical="center" wrapText="1"/>
    </xf>
    <xf numFmtId="1" fontId="266" fillId="0" borderId="1" xfId="7" applyNumberFormat="1" applyFont="1" applyFill="1" applyBorder="1" applyAlignment="1">
      <alignment horizontal="center" vertical="center"/>
    </xf>
    <xf numFmtId="0" fontId="266" fillId="0" borderId="1" xfId="5" applyNumberFormat="1" applyFont="1" applyFill="1" applyBorder="1" applyAlignment="1">
      <alignment horizontal="center" vertical="center" wrapText="1"/>
    </xf>
    <xf numFmtId="0" fontId="266" fillId="0" borderId="1" xfId="5" quotePrefix="1" applyNumberFormat="1" applyFont="1" applyFill="1" applyBorder="1" applyAlignment="1">
      <alignment horizontal="center" vertical="center" wrapText="1"/>
    </xf>
    <xf numFmtId="176" fontId="266" fillId="0" borderId="1" xfId="20" applyNumberFormat="1" applyFont="1" applyFill="1" applyBorder="1" applyAlignment="1">
      <alignment horizontal="center" vertical="center" wrapText="1"/>
    </xf>
    <xf numFmtId="176" fontId="266" fillId="0" borderId="1" xfId="1" applyNumberFormat="1" applyFont="1" applyFill="1" applyBorder="1" applyAlignment="1">
      <alignment horizontal="center" vertical="center" wrapText="1"/>
    </xf>
    <xf numFmtId="181" fontId="266" fillId="0" borderId="1" xfId="1" applyNumberFormat="1" applyFont="1" applyFill="1" applyBorder="1" applyAlignment="1">
      <alignment horizontal="center" vertical="center" wrapText="1"/>
    </xf>
    <xf numFmtId="1" fontId="266" fillId="0" borderId="1" xfId="10" applyNumberFormat="1" applyFont="1" applyFill="1" applyBorder="1" applyAlignment="1">
      <alignment horizontal="left" vertical="center" wrapText="1"/>
    </xf>
    <xf numFmtId="176" fontId="266" fillId="0" borderId="1" xfId="10" applyNumberFormat="1" applyFont="1" applyFill="1" applyBorder="1" applyAlignment="1">
      <alignment horizontal="right" vertical="center" wrapText="1"/>
    </xf>
    <xf numFmtId="49" fontId="266" fillId="0" borderId="1" xfId="21" applyNumberFormat="1" applyFont="1" applyFill="1" applyBorder="1" applyAlignment="1">
      <alignment horizontal="center" vertical="center" wrapText="1"/>
    </xf>
    <xf numFmtId="0" fontId="266" fillId="2" borderId="1" xfId="5" applyNumberFormat="1" applyFont="1" applyFill="1" applyBorder="1" applyAlignment="1">
      <alignment horizontal="center" vertical="center"/>
    </xf>
    <xf numFmtId="1" fontId="266" fillId="2" borderId="1" xfId="22" applyNumberFormat="1" applyFont="1" applyFill="1" applyBorder="1" applyAlignment="1">
      <alignment horizontal="left" vertical="center" wrapText="1"/>
    </xf>
    <xf numFmtId="1" fontId="266" fillId="2" borderId="1" xfId="22" applyNumberFormat="1" applyFont="1" applyFill="1" applyBorder="1" applyAlignment="1">
      <alignment horizontal="right" vertical="center" wrapText="1"/>
    </xf>
    <xf numFmtId="0" fontId="266" fillId="2" borderId="1" xfId="2" applyNumberFormat="1" applyFont="1" applyFill="1" applyBorder="1" applyAlignment="1">
      <alignment horizontal="center" vertical="center" wrapText="1"/>
    </xf>
    <xf numFmtId="1" fontId="266" fillId="2" borderId="1" xfId="7" applyNumberFormat="1" applyFont="1" applyFill="1" applyBorder="1" applyAlignment="1">
      <alignment horizontal="center" vertical="center"/>
    </xf>
    <xf numFmtId="1" fontId="266" fillId="2" borderId="1" xfId="22" applyNumberFormat="1" applyFont="1" applyFill="1" applyBorder="1" applyAlignment="1">
      <alignment horizontal="center" vertical="center" wrapText="1"/>
    </xf>
    <xf numFmtId="0" fontId="266" fillId="2" borderId="1" xfId="5" applyNumberFormat="1" applyFont="1" applyFill="1" applyBorder="1" applyAlignment="1">
      <alignment horizontal="center" vertical="center" wrapText="1"/>
    </xf>
    <xf numFmtId="0" fontId="266" fillId="2" borderId="1" xfId="21" applyFont="1" applyFill="1" applyBorder="1" applyAlignment="1">
      <alignment horizontal="center" vertical="center" wrapText="1"/>
    </xf>
    <xf numFmtId="176" fontId="266" fillId="2" borderId="1" xfId="1" applyNumberFormat="1" applyFont="1" applyFill="1" applyBorder="1" applyAlignment="1">
      <alignment horizontal="center" vertical="center" wrapText="1"/>
    </xf>
    <xf numFmtId="181" fontId="266" fillId="2" borderId="1" xfId="1" applyNumberFormat="1" applyFont="1" applyFill="1" applyBorder="1" applyAlignment="1">
      <alignment horizontal="center" vertical="center" wrapText="1"/>
    </xf>
    <xf numFmtId="176" fontId="266" fillId="0" borderId="1" xfId="7" applyNumberFormat="1" applyFont="1" applyFill="1" applyBorder="1" applyAlignment="1">
      <alignment horizontal="right" vertical="center" wrapText="1"/>
    </xf>
    <xf numFmtId="49" fontId="266" fillId="0" borderId="1" xfId="10" applyNumberFormat="1" applyFont="1" applyFill="1" applyBorder="1" applyAlignment="1">
      <alignment horizontal="center" vertical="center" wrapText="1"/>
    </xf>
    <xf numFmtId="1" fontId="266" fillId="0" borderId="1" xfId="7" applyNumberFormat="1" applyFont="1" applyFill="1" applyBorder="1" applyAlignment="1">
      <alignment horizontal="left" vertical="center" wrapText="1"/>
    </xf>
    <xf numFmtId="176" fontId="266" fillId="0" borderId="1" xfId="3" applyNumberFormat="1" applyFont="1" applyFill="1" applyBorder="1" applyAlignment="1">
      <alignment horizontal="left" vertical="center" wrapText="1"/>
    </xf>
    <xf numFmtId="176" fontId="266" fillId="0" borderId="1" xfId="3" applyNumberFormat="1" applyFont="1" applyFill="1" applyBorder="1" applyAlignment="1">
      <alignment horizontal="center" vertical="center" wrapText="1"/>
    </xf>
    <xf numFmtId="1" fontId="266" fillId="0" borderId="1" xfId="7" applyNumberFormat="1" applyFont="1" applyFill="1" applyBorder="1" applyAlignment="1">
      <alignment horizontal="center" vertical="center" wrapText="1"/>
    </xf>
    <xf numFmtId="169" fontId="266" fillId="0" borderId="1" xfId="1" applyFont="1" applyFill="1" applyBorder="1" applyAlignment="1">
      <alignment horizontal="center" vertical="center" wrapText="1"/>
    </xf>
    <xf numFmtId="176" fontId="266" fillId="0" borderId="1" xfId="28" applyNumberFormat="1" applyFont="1" applyFill="1" applyBorder="1" applyAlignment="1">
      <alignment horizontal="center" vertical="center" wrapText="1"/>
    </xf>
    <xf numFmtId="0" fontId="266" fillId="0" borderId="1" xfId="2" applyFont="1" applyFill="1" applyBorder="1" applyAlignment="1">
      <alignment horizontal="left" vertical="center"/>
    </xf>
    <xf numFmtId="0" fontId="266" fillId="0" borderId="1" xfId="2" applyFont="1" applyFill="1" applyBorder="1" applyAlignment="1">
      <alignment horizontal="right" vertical="center"/>
    </xf>
    <xf numFmtId="0" fontId="266" fillId="0" borderId="1" xfId="2" applyFont="1" applyFill="1" applyBorder="1" applyAlignment="1">
      <alignment horizontal="center" vertical="center" wrapText="1"/>
    </xf>
    <xf numFmtId="49" fontId="266" fillId="0" borderId="1" xfId="5" applyNumberFormat="1" applyFont="1" applyFill="1" applyBorder="1" applyAlignment="1">
      <alignment horizontal="center" vertical="center" wrapText="1"/>
    </xf>
    <xf numFmtId="1" fontId="266" fillId="0" borderId="1" xfId="7" applyNumberFormat="1" applyFont="1" applyFill="1" applyBorder="1" applyAlignment="1">
      <alignment vertical="center" wrapText="1"/>
    </xf>
    <xf numFmtId="0" fontId="266" fillId="0" borderId="1" xfId="4" applyFont="1" applyFill="1" applyBorder="1" applyAlignment="1">
      <alignment horizontal="center" vertical="center"/>
    </xf>
    <xf numFmtId="17" fontId="266" fillId="0" borderId="1" xfId="5" quotePrefix="1" applyNumberFormat="1" applyFont="1" applyFill="1" applyBorder="1" applyAlignment="1">
      <alignment horizontal="center" vertical="center" wrapText="1"/>
    </xf>
    <xf numFmtId="167" fontId="266" fillId="0" borderId="1" xfId="27" applyNumberFormat="1" applyFont="1" applyFill="1" applyBorder="1" applyAlignment="1">
      <alignment horizontal="left" vertical="center" wrapText="1"/>
    </xf>
    <xf numFmtId="169" fontId="266" fillId="0" borderId="1" xfId="3" quotePrefix="1" applyFont="1" applyFill="1" applyBorder="1" applyAlignment="1">
      <alignment horizontal="center" vertical="center" wrapText="1"/>
    </xf>
    <xf numFmtId="3" fontId="266" fillId="0" borderId="1" xfId="18" applyNumberFormat="1" applyFont="1" applyFill="1" applyBorder="1" applyAlignment="1">
      <alignment horizontal="right" vertical="center" wrapText="1"/>
    </xf>
    <xf numFmtId="1" fontId="266" fillId="0" borderId="1" xfId="7" applyNumberFormat="1" applyFont="1" applyFill="1" applyBorder="1" applyAlignment="1">
      <alignment horizontal="right" vertical="center" wrapText="1"/>
    </xf>
    <xf numFmtId="183" fontId="266" fillId="0" borderId="1" xfId="5" applyNumberFormat="1" applyFont="1" applyFill="1" applyBorder="1" applyAlignment="1">
      <alignment horizontal="center" vertical="center" wrapText="1"/>
    </xf>
    <xf numFmtId="172" fontId="266" fillId="0" borderId="1" xfId="2" applyNumberFormat="1" applyFont="1" applyFill="1" applyBorder="1" applyAlignment="1">
      <alignment horizontal="center" vertical="center" wrapText="1"/>
    </xf>
    <xf numFmtId="49" fontId="266" fillId="0" borderId="1" xfId="29" applyNumberFormat="1" applyFont="1" applyFill="1" applyBorder="1" applyAlignment="1">
      <alignment horizontal="left" vertical="center" wrapText="1"/>
    </xf>
    <xf numFmtId="3" fontId="266" fillId="0" borderId="1" xfId="26" applyNumberFormat="1" applyFont="1" applyFill="1" applyBorder="1" applyAlignment="1">
      <alignment horizontal="right" vertical="center" wrapText="1"/>
    </xf>
    <xf numFmtId="1" fontId="266" fillId="2" borderId="1" xfId="10" applyNumberFormat="1" applyFont="1" applyFill="1" applyBorder="1" applyAlignment="1">
      <alignment horizontal="left" vertical="center" wrapText="1"/>
    </xf>
    <xf numFmtId="1" fontId="266" fillId="2" borderId="1" xfId="10" applyNumberFormat="1" applyFont="1" applyFill="1" applyBorder="1" applyAlignment="1">
      <alignment horizontal="right" vertical="center" wrapText="1"/>
    </xf>
    <xf numFmtId="1" fontId="266" fillId="2" borderId="1" xfId="10" applyNumberFormat="1" applyFont="1" applyFill="1" applyBorder="1" applyAlignment="1">
      <alignment horizontal="center" vertical="center" wrapText="1"/>
    </xf>
    <xf numFmtId="172" fontId="266" fillId="2" borderId="1" xfId="2" applyNumberFormat="1" applyFont="1" applyFill="1" applyBorder="1" applyAlignment="1">
      <alignment horizontal="center" vertical="center" wrapText="1"/>
    </xf>
    <xf numFmtId="49" fontId="266" fillId="0" borderId="1" xfId="5" quotePrefix="1" applyNumberFormat="1" applyFont="1" applyFill="1" applyBorder="1" applyAlignment="1">
      <alignment horizontal="center" vertical="center" wrapText="1"/>
    </xf>
    <xf numFmtId="3" fontId="266" fillId="0" borderId="1" xfId="2" applyNumberFormat="1" applyFont="1" applyFill="1" applyBorder="1" applyAlignment="1">
      <alignment horizontal="left" vertical="center" wrapText="1"/>
    </xf>
    <xf numFmtId="1" fontId="12" fillId="0" borderId="1" xfId="10" applyNumberFormat="1" applyFont="1" applyFill="1" applyBorder="1" applyAlignment="1">
      <alignment horizontal="left" vertical="center" wrapText="1"/>
    </xf>
    <xf numFmtId="1" fontId="12" fillId="0" borderId="1" xfId="10" applyNumberFormat="1" applyFont="1" applyFill="1" applyBorder="1" applyAlignment="1">
      <alignment horizontal="right" vertical="center" wrapText="1"/>
    </xf>
    <xf numFmtId="0" fontId="12" fillId="0" borderId="1" xfId="2" applyFont="1" applyFill="1" applyBorder="1" applyAlignment="1">
      <alignment horizontal="center" vertical="center" wrapText="1"/>
    </xf>
    <xf numFmtId="0" fontId="242" fillId="0" borderId="53" xfId="5" applyNumberFormat="1" applyFont="1" applyFill="1" applyBorder="1" applyAlignment="1">
      <alignment horizontal="center" vertical="center"/>
    </xf>
    <xf numFmtId="1" fontId="248" fillId="0" borderId="53" xfId="10" applyNumberFormat="1" applyFont="1" applyFill="1" applyBorder="1" applyAlignment="1">
      <alignment horizontal="left" vertical="center" wrapText="1"/>
    </xf>
    <xf numFmtId="1" fontId="248" fillId="0" borderId="53" xfId="10" applyNumberFormat="1" applyFont="1" applyFill="1" applyBorder="1" applyAlignment="1">
      <alignment horizontal="center" vertical="center" wrapText="1"/>
    </xf>
    <xf numFmtId="0" fontId="248" fillId="0" borderId="53" xfId="2" applyNumberFormat="1" applyFont="1" applyFill="1" applyBorder="1" applyAlignment="1">
      <alignment horizontal="center" vertical="center" wrapText="1"/>
    </xf>
    <xf numFmtId="3" fontId="248" fillId="0" borderId="53" xfId="21" applyNumberFormat="1" applyFont="1" applyFill="1" applyBorder="1" applyAlignment="1">
      <alignment horizontal="right" vertical="center" wrapText="1"/>
    </xf>
    <xf numFmtId="3" fontId="242" fillId="0" borderId="53" xfId="80" applyNumberFormat="1" applyFont="1" applyFill="1" applyBorder="1" applyAlignment="1">
      <alignment horizontal="center" vertical="center" wrapText="1"/>
    </xf>
    <xf numFmtId="3" fontId="248" fillId="0" borderId="53" xfId="21" applyNumberFormat="1" applyFont="1" applyFill="1" applyBorder="1" applyAlignment="1">
      <alignment horizontal="center" vertical="center" wrapText="1"/>
    </xf>
    <xf numFmtId="1" fontId="12" fillId="0" borderId="53" xfId="80" applyNumberFormat="1" applyFont="1" applyFill="1" applyBorder="1" applyAlignment="1">
      <alignment horizontal="left" vertical="center" wrapText="1"/>
    </xf>
    <xf numFmtId="1" fontId="12" fillId="0" borderId="53" xfId="80" applyNumberFormat="1" applyFont="1" applyFill="1" applyBorder="1" applyAlignment="1">
      <alignment horizontal="center" vertical="center"/>
    </xf>
    <xf numFmtId="0" fontId="12" fillId="0" borderId="53" xfId="2" applyNumberFormat="1" applyFont="1" applyFill="1" applyBorder="1" applyAlignment="1">
      <alignment horizontal="center" vertical="center" wrapText="1"/>
    </xf>
    <xf numFmtId="1" fontId="12" fillId="0" borderId="53" xfId="80" applyNumberFormat="1" applyFont="1" applyFill="1" applyBorder="1" applyAlignment="1">
      <alignment vertical="center"/>
    </xf>
    <xf numFmtId="3" fontId="241" fillId="0" borderId="53" xfId="80" applyNumberFormat="1" applyFont="1" applyFill="1" applyBorder="1" applyAlignment="1">
      <alignment horizontal="center" vertical="center" wrapText="1"/>
    </xf>
    <xf numFmtId="1" fontId="12" fillId="2" borderId="53" xfId="80" applyNumberFormat="1" applyFont="1" applyFill="1" applyBorder="1" applyAlignment="1">
      <alignment vertical="center"/>
    </xf>
    <xf numFmtId="0" fontId="265" fillId="2" borderId="0" xfId="0" applyFont="1" applyFill="1"/>
    <xf numFmtId="0" fontId="265" fillId="2" borderId="53" xfId="0" applyFont="1" applyFill="1" applyBorder="1" applyAlignment="1">
      <alignment horizontal="left" vertical="center"/>
    </xf>
    <xf numFmtId="0" fontId="265" fillId="2" borderId="53" xfId="0" applyFont="1" applyFill="1" applyBorder="1"/>
    <xf numFmtId="167" fontId="12" fillId="0" borderId="1" xfId="27" applyNumberFormat="1" applyFont="1" applyFill="1" applyBorder="1" applyAlignment="1">
      <alignment horizontal="left" vertical="center" wrapText="1"/>
    </xf>
    <xf numFmtId="177" fontId="12" fillId="0" borderId="1" xfId="0" applyNumberFormat="1" applyFont="1" applyFill="1" applyBorder="1" applyAlignment="1">
      <alignment horizontal="center" vertical="center" wrapText="1"/>
    </xf>
    <xf numFmtId="17" fontId="12" fillId="0" borderId="1" xfId="5" quotePrefix="1" applyNumberFormat="1" applyFont="1" applyFill="1" applyBorder="1" applyAlignment="1">
      <alignment horizontal="center" vertical="center" wrapText="1"/>
    </xf>
    <xf numFmtId="0" fontId="12" fillId="0" borderId="1" xfId="5" quotePrefix="1" applyNumberFormat="1" applyFont="1" applyFill="1" applyBorder="1" applyAlignment="1">
      <alignment horizontal="center" vertical="center" wrapText="1"/>
    </xf>
    <xf numFmtId="176" fontId="12" fillId="0" borderId="1" xfId="1" applyNumberFormat="1" applyFont="1" applyFill="1" applyBorder="1" applyAlignment="1">
      <alignment horizontal="center" vertical="center" wrapText="1"/>
    </xf>
    <xf numFmtId="181" fontId="12" fillId="0" borderId="1" xfId="1" applyNumberFormat="1" applyFont="1" applyFill="1" applyBorder="1" applyAlignment="1">
      <alignment horizontal="center" vertical="center" wrapText="1"/>
    </xf>
    <xf numFmtId="0" fontId="12" fillId="2" borderId="1" xfId="5" applyNumberFormat="1" applyFont="1" applyFill="1" applyBorder="1" applyAlignment="1">
      <alignment horizontal="center" vertical="center"/>
    </xf>
    <xf numFmtId="167" fontId="12" fillId="2" borderId="1" xfId="27" applyNumberFormat="1" applyFont="1" applyFill="1" applyBorder="1" applyAlignment="1">
      <alignment horizontal="left" vertical="center" wrapText="1"/>
    </xf>
    <xf numFmtId="0" fontId="12" fillId="2" borderId="1" xfId="2" applyNumberFormat="1" applyFont="1" applyFill="1" applyBorder="1" applyAlignment="1">
      <alignment horizontal="center" vertical="center" wrapText="1"/>
    </xf>
    <xf numFmtId="177" fontId="12" fillId="2" borderId="1" xfId="0" applyNumberFormat="1" applyFont="1" applyFill="1" applyBorder="1" applyAlignment="1">
      <alignment horizontal="center" vertical="center" wrapText="1"/>
    </xf>
    <xf numFmtId="0" fontId="12" fillId="2" borderId="1" xfId="2" applyFont="1" applyFill="1" applyBorder="1" applyAlignment="1">
      <alignment horizontal="center" vertical="center" wrapText="1"/>
    </xf>
    <xf numFmtId="0" fontId="12" fillId="2" borderId="1" xfId="5" applyNumberFormat="1" applyFont="1" applyFill="1" applyBorder="1" applyAlignment="1">
      <alignment horizontal="center" vertical="center" wrapText="1"/>
    </xf>
    <xf numFmtId="0" fontId="12" fillId="2" borderId="1" xfId="5" quotePrefix="1" applyNumberFormat="1" applyFont="1" applyFill="1" applyBorder="1" applyAlignment="1">
      <alignment horizontal="center" vertical="center" wrapText="1"/>
    </xf>
    <xf numFmtId="167" fontId="12" fillId="2" borderId="1" xfId="27" applyNumberFormat="1" applyFont="1" applyFill="1" applyBorder="1" applyAlignment="1">
      <alignment horizontal="center" vertical="center" wrapText="1"/>
    </xf>
    <xf numFmtId="176" fontId="12" fillId="2" borderId="1" xfId="1" applyNumberFormat="1" applyFont="1" applyFill="1" applyBorder="1" applyAlignment="1">
      <alignment horizontal="center" vertical="center" wrapText="1"/>
    </xf>
    <xf numFmtId="181" fontId="12" fillId="2" borderId="1" xfId="1" applyNumberFormat="1" applyFont="1" applyFill="1" applyBorder="1" applyAlignment="1">
      <alignment horizontal="center" vertical="center" wrapText="1"/>
    </xf>
    <xf numFmtId="0" fontId="12" fillId="2" borderId="4" xfId="2" applyNumberFormat="1" applyFont="1" applyFill="1" applyBorder="1" applyAlignment="1">
      <alignment horizontal="center" vertical="center" wrapText="1"/>
    </xf>
    <xf numFmtId="169" fontId="240" fillId="0" borderId="1" xfId="1" applyFont="1" applyFill="1" applyBorder="1" applyAlignment="1">
      <alignment horizontal="left" vertical="center" wrapText="1"/>
    </xf>
    <xf numFmtId="176" fontId="240" fillId="0" borderId="1" xfId="1" applyNumberFormat="1" applyFont="1" applyFill="1" applyBorder="1" applyAlignment="1">
      <alignment horizontal="left" vertical="center" wrapText="1"/>
    </xf>
    <xf numFmtId="181" fontId="240" fillId="0" borderId="1" xfId="1" applyNumberFormat="1" applyFont="1" applyFill="1" applyBorder="1" applyAlignment="1">
      <alignment horizontal="center" vertical="center" wrapText="1"/>
    </xf>
    <xf numFmtId="3" fontId="12" fillId="2" borderId="1" xfId="32" applyNumberFormat="1" applyFont="1" applyFill="1" applyBorder="1" applyAlignment="1">
      <alignment horizontal="center" vertical="center" wrapText="1"/>
    </xf>
    <xf numFmtId="176" fontId="12" fillId="2" borderId="1" xfId="4" applyNumberFormat="1" applyFont="1" applyFill="1" applyBorder="1" applyAlignment="1">
      <alignment horizontal="right" vertical="center" wrapText="1"/>
    </xf>
    <xf numFmtId="0" fontId="12" fillId="2" borderId="1" xfId="4" applyFont="1" applyFill="1" applyBorder="1" applyAlignment="1">
      <alignment horizontal="right" vertical="center" wrapText="1"/>
    </xf>
    <xf numFmtId="3" fontId="12" fillId="2" borderId="1" xfId="4" applyNumberFormat="1" applyFont="1" applyFill="1" applyBorder="1" applyAlignment="1">
      <alignment horizontal="right" vertical="center"/>
    </xf>
    <xf numFmtId="181" fontId="12" fillId="0" borderId="53" xfId="4" applyNumberFormat="1" applyFont="1" applyFill="1" applyBorder="1" applyAlignment="1">
      <alignment horizontal="right" vertical="center"/>
    </xf>
    <xf numFmtId="181" fontId="12" fillId="2" borderId="1" xfId="4" applyNumberFormat="1" applyFont="1" applyFill="1" applyBorder="1" applyAlignment="1">
      <alignment horizontal="right" vertical="center"/>
    </xf>
    <xf numFmtId="179" fontId="241" fillId="2" borderId="1" xfId="31" applyNumberFormat="1" applyFont="1" applyFill="1" applyBorder="1" applyAlignment="1">
      <alignment horizontal="center" vertical="center" wrapText="1"/>
    </xf>
    <xf numFmtId="176" fontId="12" fillId="0" borderId="1" xfId="4" applyNumberFormat="1" applyFont="1" applyFill="1" applyBorder="1" applyAlignment="1">
      <alignment horizontal="right" vertical="center" wrapText="1"/>
    </xf>
    <xf numFmtId="3" fontId="12" fillId="0" borderId="1" xfId="7" quotePrefix="1" applyNumberFormat="1" applyFont="1" applyFill="1" applyBorder="1" applyAlignment="1">
      <alignment horizontal="right" vertical="center" wrapText="1"/>
    </xf>
    <xf numFmtId="3" fontId="241" fillId="0" borderId="1" xfId="4" applyNumberFormat="1" applyFont="1" applyFill="1" applyBorder="1" applyAlignment="1">
      <alignment horizontal="right" vertical="center"/>
    </xf>
    <xf numFmtId="181" fontId="12" fillId="2" borderId="53" xfId="4" applyNumberFormat="1" applyFont="1" applyFill="1" applyBorder="1" applyAlignment="1">
      <alignment horizontal="right" vertical="center"/>
    </xf>
    <xf numFmtId="181" fontId="12" fillId="0" borderId="1" xfId="4" applyNumberFormat="1" applyFont="1" applyFill="1" applyBorder="1" applyAlignment="1">
      <alignment horizontal="right" vertical="center"/>
    </xf>
    <xf numFmtId="176" fontId="241" fillId="63" borderId="1" xfId="4" applyNumberFormat="1" applyFont="1" applyFill="1" applyBorder="1" applyAlignment="1">
      <alignment horizontal="right" vertical="center" wrapText="1"/>
    </xf>
    <xf numFmtId="3" fontId="241" fillId="63" borderId="1" xfId="4" applyNumberFormat="1" applyFont="1" applyFill="1" applyBorder="1" applyAlignment="1">
      <alignment horizontal="right" vertical="center"/>
    </xf>
    <xf numFmtId="176" fontId="12" fillId="63" borderId="1" xfId="1" applyNumberFormat="1" applyFont="1" applyFill="1" applyBorder="1" applyAlignment="1">
      <alignment horizontal="right" vertical="center"/>
    </xf>
    <xf numFmtId="3" fontId="241" fillId="63" borderId="1" xfId="32" applyNumberFormat="1" applyFont="1" applyFill="1" applyBorder="1" applyAlignment="1">
      <alignment horizontal="center" vertical="center" wrapText="1"/>
    </xf>
    <xf numFmtId="3" fontId="12" fillId="63" borderId="1" xfId="32" applyNumberFormat="1" applyFont="1" applyFill="1" applyBorder="1" applyAlignment="1">
      <alignment horizontal="center" vertical="center" wrapText="1"/>
    </xf>
    <xf numFmtId="179" fontId="12" fillId="63" borderId="1" xfId="31" applyNumberFormat="1" applyFont="1" applyFill="1" applyBorder="1" applyAlignment="1">
      <alignment horizontal="center" vertical="center" wrapText="1"/>
    </xf>
    <xf numFmtId="1" fontId="12" fillId="0" borderId="1" xfId="7" applyNumberFormat="1" applyFont="1" applyFill="1" applyBorder="1" applyAlignment="1">
      <alignment horizontal="right" vertical="center"/>
    </xf>
    <xf numFmtId="3" fontId="12" fillId="0" borderId="1" xfId="4" applyNumberFormat="1" applyFont="1" applyFill="1" applyBorder="1" applyAlignment="1">
      <alignment horizontal="right" vertical="center"/>
    </xf>
    <xf numFmtId="179" fontId="12" fillId="2" borderId="1" xfId="31" applyNumberFormat="1" applyFont="1" applyFill="1" applyBorder="1" applyAlignment="1">
      <alignment horizontal="center" vertical="center" wrapText="1"/>
    </xf>
    <xf numFmtId="3" fontId="12" fillId="2" borderId="1" xfId="7" quotePrefix="1" applyNumberFormat="1" applyFont="1" applyFill="1" applyBorder="1" applyAlignment="1">
      <alignment horizontal="right" vertical="center" wrapText="1"/>
    </xf>
    <xf numFmtId="181" fontId="12" fillId="3" borderId="53" xfId="4" applyNumberFormat="1" applyFont="1" applyFill="1" applyBorder="1" applyAlignment="1">
      <alignment horizontal="right" vertical="center"/>
    </xf>
    <xf numFmtId="176" fontId="12" fillId="63" borderId="1" xfId="4" applyNumberFormat="1" applyFont="1" applyFill="1" applyBorder="1" applyAlignment="1">
      <alignment horizontal="right" vertical="center" wrapText="1"/>
    </xf>
    <xf numFmtId="0" fontId="240" fillId="2" borderId="0" xfId="0" applyNumberFormat="1" applyFont="1" applyFill="1" applyAlignment="1">
      <alignment horizontal="center" vertical="center" wrapText="1"/>
    </xf>
    <xf numFmtId="0" fontId="240" fillId="2" borderId="53" xfId="0" applyNumberFormat="1" applyFont="1" applyFill="1" applyBorder="1" applyAlignment="1">
      <alignment horizontal="left" vertical="center" wrapText="1"/>
    </xf>
    <xf numFmtId="0" fontId="240" fillId="2" borderId="53" xfId="0" applyNumberFormat="1" applyFont="1" applyFill="1" applyBorder="1" applyAlignment="1">
      <alignment horizontal="center" vertical="center" wrapText="1"/>
    </xf>
    <xf numFmtId="0" fontId="240" fillId="2" borderId="1" xfId="5" applyNumberFormat="1" applyFont="1" applyFill="1" applyBorder="1" applyAlignment="1">
      <alignment horizontal="center" vertical="center"/>
    </xf>
    <xf numFmtId="169" fontId="240" fillId="2" borderId="1" xfId="1" applyFont="1" applyFill="1" applyBorder="1" applyAlignment="1">
      <alignment horizontal="left" vertical="center" wrapText="1"/>
    </xf>
    <xf numFmtId="176" fontId="240" fillId="2" borderId="1" xfId="1" applyNumberFormat="1" applyFont="1" applyFill="1" applyBorder="1" applyAlignment="1">
      <alignment horizontal="left" vertical="center" wrapText="1"/>
    </xf>
    <xf numFmtId="176" fontId="240" fillId="2" borderId="1" xfId="1" applyNumberFormat="1" applyFont="1" applyFill="1" applyBorder="1" applyAlignment="1">
      <alignment horizontal="center" vertical="center" wrapText="1"/>
    </xf>
    <xf numFmtId="1" fontId="240" fillId="2" borderId="1" xfId="7" applyNumberFormat="1" applyFont="1" applyFill="1" applyBorder="1" applyAlignment="1">
      <alignment horizontal="center" vertical="center" wrapText="1"/>
    </xf>
    <xf numFmtId="0" fontId="240" fillId="2" borderId="1" xfId="5" applyNumberFormat="1" applyFont="1" applyFill="1" applyBorder="1" applyAlignment="1">
      <alignment horizontal="center" vertical="center" wrapText="1"/>
    </xf>
    <xf numFmtId="169" fontId="240" fillId="2" borderId="1" xfId="1" quotePrefix="1" applyFont="1" applyFill="1" applyBorder="1" applyAlignment="1">
      <alignment horizontal="center" vertical="center" wrapText="1"/>
    </xf>
    <xf numFmtId="3" fontId="266" fillId="2" borderId="1" xfId="80" applyNumberFormat="1" applyFont="1" applyFill="1" applyBorder="1" applyAlignment="1">
      <alignment horizontal="left" vertical="center" wrapText="1"/>
    </xf>
    <xf numFmtId="0" fontId="240" fillId="2" borderId="53" xfId="5" applyNumberFormat="1" applyFont="1" applyFill="1" applyBorder="1" applyAlignment="1">
      <alignment horizontal="center" vertical="center"/>
    </xf>
    <xf numFmtId="0" fontId="240" fillId="2" borderId="53" xfId="2657" applyFont="1" applyFill="1" applyBorder="1" applyAlignment="1">
      <alignment horizontal="left" vertical="center" wrapText="1"/>
    </xf>
    <xf numFmtId="0" fontId="240" fillId="2" borderId="53" xfId="2657" applyFont="1" applyFill="1" applyBorder="1" applyAlignment="1">
      <alignment horizontal="center" vertical="center" wrapText="1"/>
    </xf>
    <xf numFmtId="0" fontId="240" fillId="2" borderId="53" xfId="5" applyNumberFormat="1" applyFont="1" applyFill="1" applyBorder="1" applyAlignment="1">
      <alignment horizontal="center" vertical="center" wrapText="1"/>
    </xf>
    <xf numFmtId="1" fontId="240" fillId="2" borderId="53" xfId="80" applyNumberFormat="1" applyFont="1" applyFill="1" applyBorder="1" applyAlignment="1">
      <alignment horizontal="center" vertical="center" wrapText="1"/>
    </xf>
    <xf numFmtId="176" fontId="240" fillId="2" borderId="53" xfId="1" applyNumberFormat="1" applyFont="1" applyFill="1" applyBorder="1" applyAlignment="1">
      <alignment horizontal="right" vertical="center"/>
    </xf>
    <xf numFmtId="1" fontId="240" fillId="2" borderId="53" xfId="80" applyNumberFormat="1" applyFont="1" applyFill="1" applyBorder="1" applyAlignment="1">
      <alignment vertical="center"/>
    </xf>
    <xf numFmtId="0" fontId="266" fillId="2" borderId="0" xfId="0" applyFont="1" applyFill="1"/>
    <xf numFmtId="0" fontId="266" fillId="2" borderId="53" xfId="0" applyFont="1" applyFill="1" applyBorder="1" applyAlignment="1">
      <alignment horizontal="left" vertical="center"/>
    </xf>
    <xf numFmtId="176" fontId="240" fillId="2" borderId="53" xfId="1" applyNumberFormat="1" applyFont="1" applyFill="1" applyBorder="1" applyAlignment="1">
      <alignment horizontal="center" vertical="center" wrapText="1"/>
    </xf>
    <xf numFmtId="1" fontId="12" fillId="2" borderId="53" xfId="7" applyNumberFormat="1" applyFont="1" applyFill="1" applyBorder="1" applyAlignment="1">
      <alignment horizontal="left" vertical="center" wrapText="1"/>
    </xf>
    <xf numFmtId="1" fontId="12" fillId="2" borderId="53" xfId="7" applyNumberFormat="1" applyFont="1" applyFill="1" applyBorder="1" applyAlignment="1">
      <alignment horizontal="center" vertical="center" wrapText="1"/>
    </xf>
    <xf numFmtId="0" fontId="12" fillId="2" borderId="53" xfId="5" applyNumberFormat="1" applyFont="1" applyFill="1" applyBorder="1" applyAlignment="1">
      <alignment horizontal="center" vertical="center" wrapText="1"/>
    </xf>
    <xf numFmtId="1" fontId="12" fillId="2" borderId="53" xfId="80" quotePrefix="1" applyNumberFormat="1" applyFont="1" applyFill="1" applyBorder="1" applyAlignment="1">
      <alignment horizontal="center" vertical="center" wrapText="1"/>
    </xf>
    <xf numFmtId="176" fontId="12" fillId="2" borderId="53" xfId="1" applyNumberFormat="1" applyFont="1" applyFill="1" applyBorder="1" applyAlignment="1">
      <alignment horizontal="center" vertical="center" wrapText="1"/>
    </xf>
    <xf numFmtId="3" fontId="12" fillId="0" borderId="53" xfId="4" applyNumberFormat="1" applyFont="1" applyFill="1" applyBorder="1" applyAlignment="1">
      <alignment horizontal="right" vertical="center"/>
    </xf>
    <xf numFmtId="176" fontId="12" fillId="2" borderId="53" xfId="0" applyNumberFormat="1" applyFont="1" applyFill="1" applyBorder="1" applyAlignment="1">
      <alignment horizontal="center" vertical="center" wrapText="1"/>
    </xf>
    <xf numFmtId="0" fontId="266" fillId="2" borderId="53" xfId="5" applyNumberFormat="1" applyFont="1" applyFill="1" applyBorder="1" applyAlignment="1">
      <alignment horizontal="center" vertical="center"/>
    </xf>
    <xf numFmtId="1" fontId="266" fillId="2" borderId="53" xfId="7" applyNumberFormat="1" applyFont="1" applyFill="1" applyBorder="1" applyAlignment="1">
      <alignment horizontal="left" vertical="center" wrapText="1"/>
    </xf>
    <xf numFmtId="1" fontId="266" fillId="2" borderId="53" xfId="7" applyNumberFormat="1" applyFont="1" applyFill="1" applyBorder="1" applyAlignment="1">
      <alignment horizontal="center" vertical="center" wrapText="1"/>
    </xf>
    <xf numFmtId="0" fontId="266" fillId="2" borderId="53" xfId="5" applyNumberFormat="1" applyFont="1" applyFill="1" applyBorder="1" applyAlignment="1">
      <alignment horizontal="center" vertical="center" wrapText="1"/>
    </xf>
    <xf numFmtId="0" fontId="269" fillId="2" borderId="53" xfId="5" applyNumberFormat="1" applyFont="1" applyFill="1" applyBorder="1" applyAlignment="1">
      <alignment horizontal="center" vertical="center" wrapText="1"/>
    </xf>
    <xf numFmtId="176" fontId="266" fillId="2" borderId="53" xfId="1" applyNumberFormat="1" applyFont="1" applyFill="1" applyBorder="1" applyAlignment="1">
      <alignment horizontal="center" vertical="center" wrapText="1"/>
    </xf>
    <xf numFmtId="176" fontId="266" fillId="2" borderId="53" xfId="1" applyNumberFormat="1" applyFont="1" applyFill="1" applyBorder="1" applyAlignment="1">
      <alignment horizontal="right" vertical="center"/>
    </xf>
    <xf numFmtId="176" fontId="266" fillId="2" borderId="53" xfId="0" applyNumberFormat="1" applyFont="1" applyFill="1" applyBorder="1" applyAlignment="1">
      <alignment horizontal="center" vertical="center" wrapText="1"/>
    </xf>
    <xf numFmtId="181" fontId="240" fillId="2" borderId="1" xfId="1" applyNumberFormat="1" applyFont="1" applyFill="1" applyBorder="1" applyAlignment="1">
      <alignment horizontal="center" vertical="center" wrapText="1"/>
    </xf>
    <xf numFmtId="0" fontId="266" fillId="3" borderId="1" xfId="5" applyNumberFormat="1" applyFont="1" applyFill="1" applyBorder="1" applyAlignment="1">
      <alignment horizontal="center" vertical="center"/>
    </xf>
    <xf numFmtId="0" fontId="266" fillId="3" borderId="1" xfId="0" applyNumberFormat="1" applyFont="1" applyFill="1" applyBorder="1" applyAlignment="1">
      <alignment horizontal="left" vertical="center" wrapText="1"/>
    </xf>
    <xf numFmtId="0" fontId="266" fillId="3" borderId="1" xfId="0" applyNumberFormat="1" applyFont="1" applyFill="1" applyBorder="1" applyAlignment="1">
      <alignment horizontal="right" vertical="center" wrapText="1"/>
    </xf>
    <xf numFmtId="167" fontId="266" fillId="3" borderId="1" xfId="7" applyNumberFormat="1" applyFont="1" applyFill="1" applyBorder="1" applyAlignment="1">
      <alignment horizontal="center" vertical="center"/>
    </xf>
    <xf numFmtId="177" fontId="266" fillId="3" borderId="1" xfId="0" applyNumberFormat="1" applyFont="1" applyFill="1" applyBorder="1" applyAlignment="1">
      <alignment horizontal="center" vertical="center" wrapText="1"/>
    </xf>
    <xf numFmtId="0" fontId="266" fillId="3" borderId="1" xfId="0" applyNumberFormat="1" applyFont="1" applyFill="1" applyBorder="1" applyAlignment="1">
      <alignment horizontal="center" vertical="center" wrapText="1"/>
    </xf>
    <xf numFmtId="0" fontId="266" fillId="3" borderId="1" xfId="5" applyNumberFormat="1" applyFont="1" applyFill="1" applyBorder="1" applyAlignment="1">
      <alignment horizontal="center" vertical="center" wrapText="1"/>
    </xf>
    <xf numFmtId="3" fontId="266" fillId="3" borderId="1" xfId="0" applyNumberFormat="1" applyFont="1" applyFill="1" applyBorder="1" applyAlignment="1">
      <alignment horizontal="center" vertical="center" wrapText="1"/>
    </xf>
    <xf numFmtId="176" fontId="266" fillId="3" borderId="1" xfId="1" applyNumberFormat="1" applyFont="1" applyFill="1" applyBorder="1" applyAlignment="1">
      <alignment horizontal="center" vertical="center" wrapText="1"/>
    </xf>
    <xf numFmtId="181" fontId="266" fillId="3" borderId="1" xfId="1" applyNumberFormat="1" applyFont="1" applyFill="1" applyBorder="1" applyAlignment="1">
      <alignment horizontal="center" vertical="center" wrapText="1"/>
    </xf>
    <xf numFmtId="0" fontId="266" fillId="3" borderId="1" xfId="35" applyFont="1" applyFill="1" applyBorder="1" applyAlignment="1">
      <alignment horizontal="left" vertical="center" wrapText="1"/>
    </xf>
    <xf numFmtId="0" fontId="266" fillId="3" borderId="1" xfId="2" applyNumberFormat="1" applyFont="1" applyFill="1" applyBorder="1" applyAlignment="1">
      <alignment horizontal="center" vertical="center" wrapText="1"/>
    </xf>
    <xf numFmtId="183" fontId="266" fillId="3" borderId="1" xfId="5" applyNumberFormat="1" applyFont="1" applyFill="1" applyBorder="1" applyAlignment="1">
      <alignment horizontal="center" vertical="center" wrapText="1"/>
    </xf>
    <xf numFmtId="49" fontId="266" fillId="3" borderId="1" xfId="5" applyNumberFormat="1" applyFont="1" applyFill="1" applyBorder="1" applyAlignment="1">
      <alignment horizontal="center" vertical="center" wrapText="1"/>
    </xf>
    <xf numFmtId="167" fontId="266" fillId="3" borderId="1" xfId="7" applyNumberFormat="1" applyFont="1" applyFill="1" applyBorder="1" applyAlignment="1">
      <alignment horizontal="center" vertical="center" wrapText="1"/>
    </xf>
    <xf numFmtId="0" fontId="12" fillId="3" borderId="1" xfId="0" applyFont="1" applyFill="1" applyBorder="1" applyAlignment="1">
      <alignment horizontal="left"/>
    </xf>
    <xf numFmtId="0" fontId="12" fillId="3" borderId="1" xfId="0" applyFont="1" applyFill="1" applyBorder="1" applyAlignment="1">
      <alignment horizontal="right"/>
    </xf>
    <xf numFmtId="0" fontId="12" fillId="3" borderId="1" xfId="0" applyFont="1" applyFill="1" applyBorder="1"/>
    <xf numFmtId="49" fontId="12" fillId="3" borderId="1" xfId="0" applyNumberFormat="1" applyFont="1" applyFill="1" applyBorder="1"/>
    <xf numFmtId="0" fontId="12" fillId="3" borderId="1" xfId="0" applyFont="1" applyFill="1" applyBorder="1" applyAlignment="1">
      <alignment horizontal="center" vertical="center"/>
    </xf>
    <xf numFmtId="0" fontId="12" fillId="3" borderId="4" xfId="0" applyFont="1" applyFill="1" applyBorder="1" applyAlignment="1">
      <alignment horizontal="left"/>
    </xf>
    <xf numFmtId="0" fontId="12" fillId="3" borderId="4" xfId="0" applyFont="1" applyFill="1" applyBorder="1" applyAlignment="1">
      <alignment horizontal="right"/>
    </xf>
    <xf numFmtId="181" fontId="240" fillId="2" borderId="1" xfId="2" applyNumberFormat="1" applyFont="1" applyFill="1" applyBorder="1" applyAlignment="1">
      <alignment horizontal="center" vertical="center" wrapText="1"/>
    </xf>
    <xf numFmtId="1" fontId="12" fillId="0" borderId="1" xfId="7" applyNumberFormat="1" applyFont="1" applyFill="1" applyBorder="1" applyAlignment="1">
      <alignment horizontal="left" vertical="center" wrapText="1"/>
    </xf>
    <xf numFmtId="0" fontId="12" fillId="0" borderId="1" xfId="5" applyNumberFormat="1" applyFont="1" applyFill="1" applyBorder="1" applyAlignment="1">
      <alignment horizontal="right" vertical="center" wrapText="1"/>
    </xf>
    <xf numFmtId="0" fontId="12" fillId="0" borderId="1" xfId="0" applyFont="1" applyFill="1" applyBorder="1" applyAlignment="1">
      <alignment horizontal="right" vertical="center" wrapText="1"/>
    </xf>
    <xf numFmtId="1" fontId="12" fillId="0" borderId="1" xfId="7" applyNumberFormat="1" applyFont="1" applyFill="1" applyBorder="1" applyAlignment="1">
      <alignment horizontal="right" vertical="center" wrapText="1"/>
    </xf>
    <xf numFmtId="1" fontId="12" fillId="0" borderId="1" xfId="10" applyNumberFormat="1" applyFont="1" applyFill="1" applyBorder="1" applyAlignment="1">
      <alignment horizontal="center" vertical="center" wrapText="1"/>
    </xf>
    <xf numFmtId="0" fontId="12" fillId="2" borderId="1" xfId="2" applyFont="1" applyFill="1" applyBorder="1" applyAlignment="1">
      <alignment horizontal="left" vertical="center" wrapText="1"/>
    </xf>
    <xf numFmtId="3" fontId="12" fillId="2" borderId="1" xfId="30" applyNumberFormat="1" applyFont="1" applyFill="1" applyBorder="1" applyAlignment="1">
      <alignment horizontal="center" vertical="center" wrapText="1"/>
    </xf>
    <xf numFmtId="0" fontId="12" fillId="2" borderId="1" xfId="5" applyNumberFormat="1" applyFont="1" applyFill="1" applyBorder="1" applyAlignment="1">
      <alignment horizontal="right" vertical="center" wrapText="1"/>
    </xf>
    <xf numFmtId="0" fontId="12" fillId="2" borderId="1" xfId="2" quotePrefix="1" applyNumberFormat="1" applyFont="1" applyFill="1" applyBorder="1" applyAlignment="1">
      <alignment horizontal="center" vertical="center" wrapText="1"/>
    </xf>
    <xf numFmtId="3" fontId="12" fillId="0" borderId="1" xfId="30" applyNumberFormat="1" applyFont="1" applyFill="1" applyBorder="1" applyAlignment="1">
      <alignment horizontal="center" vertical="center" wrapText="1"/>
    </xf>
    <xf numFmtId="49" fontId="12" fillId="0" borderId="1" xfId="2" applyNumberFormat="1" applyFont="1" applyFill="1" applyBorder="1" applyAlignment="1">
      <alignment horizontal="left" vertical="center" wrapText="1"/>
    </xf>
    <xf numFmtId="49" fontId="12" fillId="0" borderId="1" xfId="2" applyNumberFormat="1" applyFont="1" applyFill="1" applyBorder="1" applyAlignment="1">
      <alignment horizontal="right" vertical="center" wrapText="1"/>
    </xf>
    <xf numFmtId="167" fontId="12" fillId="0" borderId="1" xfId="27" applyNumberFormat="1" applyFont="1" applyFill="1" applyBorder="1" applyAlignment="1">
      <alignment horizontal="right" vertical="center" wrapText="1"/>
    </xf>
    <xf numFmtId="169" fontId="12" fillId="0" borderId="1" xfId="20" applyFont="1" applyFill="1" applyBorder="1" applyAlignment="1">
      <alignment horizontal="left" vertical="center" wrapText="1"/>
    </xf>
    <xf numFmtId="169" fontId="12" fillId="0" borderId="1" xfId="20" applyFont="1" applyFill="1" applyBorder="1" applyAlignment="1">
      <alignment horizontal="right" vertical="center" wrapText="1"/>
    </xf>
    <xf numFmtId="169" fontId="12" fillId="0" borderId="1" xfId="20" applyFont="1" applyFill="1" applyBorder="1" applyAlignment="1">
      <alignment horizontal="center" vertical="center" wrapText="1"/>
    </xf>
    <xf numFmtId="167" fontId="12" fillId="0" borderId="1" xfId="24" applyNumberFormat="1" applyFont="1" applyFill="1" applyBorder="1" applyAlignment="1">
      <alignment horizontal="left" vertical="center" wrapText="1"/>
    </xf>
    <xf numFmtId="167" fontId="12" fillId="0" borderId="1" xfId="24" applyNumberFormat="1" applyFont="1" applyFill="1" applyBorder="1" applyAlignment="1">
      <alignment horizontal="right" vertical="center" wrapText="1"/>
    </xf>
    <xf numFmtId="174" fontId="12" fillId="0" borderId="1" xfId="3" applyNumberFormat="1" applyFont="1" applyFill="1" applyBorder="1" applyAlignment="1">
      <alignment horizontal="left" vertical="center" wrapText="1"/>
    </xf>
    <xf numFmtId="174" fontId="12" fillId="0" borderId="1" xfId="3" applyNumberFormat="1" applyFont="1" applyFill="1" applyBorder="1" applyAlignment="1">
      <alignment horizontal="right" vertical="center" wrapText="1"/>
    </xf>
    <xf numFmtId="174" fontId="12" fillId="0" borderId="1" xfId="3" applyNumberFormat="1" applyFont="1" applyFill="1" applyBorder="1" applyAlignment="1">
      <alignment horizontal="center" vertical="center" wrapText="1"/>
    </xf>
    <xf numFmtId="0" fontId="12" fillId="0" borderId="1" xfId="2" applyNumberFormat="1" applyFont="1" applyFill="1" applyBorder="1" applyAlignment="1">
      <alignment horizontal="left" vertical="center" wrapText="1"/>
    </xf>
    <xf numFmtId="0" fontId="12" fillId="0" borderId="1" xfId="2" applyNumberFormat="1" applyFont="1" applyFill="1" applyBorder="1" applyAlignment="1">
      <alignment horizontal="right" vertical="center" wrapText="1"/>
    </xf>
    <xf numFmtId="1" fontId="12" fillId="0" borderId="1" xfId="18" applyNumberFormat="1" applyFont="1" applyFill="1" applyBorder="1" applyAlignment="1">
      <alignment horizontal="left" vertical="center" wrapText="1"/>
    </xf>
    <xf numFmtId="1" fontId="12" fillId="0" borderId="1" xfId="18" applyNumberFormat="1" applyFont="1" applyFill="1" applyBorder="1" applyAlignment="1">
      <alignment horizontal="right" vertical="center" wrapText="1"/>
    </xf>
    <xf numFmtId="0" fontId="12" fillId="0" borderId="1" xfId="47" applyNumberFormat="1" applyFont="1" applyFill="1" applyBorder="1" applyAlignment="1">
      <alignment horizontal="center" vertical="center" wrapText="1"/>
    </xf>
    <xf numFmtId="0" fontId="12" fillId="0" borderId="1" xfId="47" applyNumberFormat="1" applyFont="1" applyFill="1" applyBorder="1" applyAlignment="1">
      <alignment horizontal="right" vertical="center" wrapText="1"/>
    </xf>
    <xf numFmtId="167" fontId="12" fillId="0" borderId="1" xfId="39" applyNumberFormat="1" applyFont="1" applyFill="1" applyBorder="1" applyAlignment="1">
      <alignment vertical="center" wrapText="1"/>
    </xf>
    <xf numFmtId="0" fontId="12" fillId="0" borderId="1" xfId="39" applyNumberFormat="1" applyFont="1" applyFill="1" applyBorder="1" applyAlignment="1">
      <alignment horizontal="center" vertical="center" wrapText="1"/>
    </xf>
    <xf numFmtId="0" fontId="12" fillId="0" borderId="1" xfId="24" applyNumberFormat="1" applyFont="1" applyFill="1" applyBorder="1" applyAlignment="1">
      <alignment horizontal="right" vertical="center" wrapText="1"/>
    </xf>
    <xf numFmtId="0" fontId="12" fillId="0" borderId="1" xfId="24" applyNumberFormat="1" applyFont="1" applyFill="1" applyBorder="1" applyAlignment="1">
      <alignment horizontal="center" vertical="center" wrapText="1"/>
    </xf>
    <xf numFmtId="0" fontId="266" fillId="0" borderId="1" xfId="51" applyFont="1" applyBorder="1" applyAlignment="1">
      <alignment vertical="center" wrapText="1"/>
    </xf>
    <xf numFmtId="0" fontId="266" fillId="0" borderId="1" xfId="51" applyFont="1" applyBorder="1" applyAlignment="1">
      <alignment horizontal="center" vertical="center" wrapText="1"/>
    </xf>
    <xf numFmtId="0" fontId="266" fillId="0" borderId="1" xfId="51" applyNumberFormat="1" applyFont="1" applyBorder="1" applyAlignment="1">
      <alignment horizontal="center" vertical="center" wrapText="1"/>
    </xf>
    <xf numFmtId="1" fontId="12" fillId="0" borderId="1" xfId="7" applyNumberFormat="1" applyFont="1" applyFill="1" applyBorder="1" applyAlignment="1">
      <alignment vertical="center" wrapText="1"/>
    </xf>
    <xf numFmtId="0" fontId="12" fillId="0" borderId="1" xfId="51" applyNumberFormat="1" applyFont="1" applyFill="1" applyBorder="1" applyAlignment="1">
      <alignment horizontal="center" vertical="center" wrapText="1"/>
    </xf>
    <xf numFmtId="49" fontId="12" fillId="0" borderId="1" xfId="16" applyNumberFormat="1" applyFont="1" applyFill="1" applyBorder="1" applyAlignment="1">
      <alignment horizontal="center" vertical="center" wrapText="1"/>
    </xf>
    <xf numFmtId="181" fontId="12" fillId="0" borderId="1" xfId="16" applyNumberFormat="1" applyFont="1" applyFill="1" applyBorder="1" applyAlignment="1">
      <alignment vertical="center"/>
    </xf>
    <xf numFmtId="1" fontId="273" fillId="0" borderId="1" xfId="7" applyNumberFormat="1" applyFont="1" applyFill="1" applyBorder="1" applyAlignment="1">
      <alignment vertical="center" wrapText="1"/>
    </xf>
    <xf numFmtId="0" fontId="273" fillId="0" borderId="1" xfId="51" applyFont="1" applyFill="1" applyBorder="1" applyAlignment="1">
      <alignment horizontal="center" vertical="center" wrapText="1"/>
    </xf>
    <xf numFmtId="176" fontId="273" fillId="0" borderId="1" xfId="38" quotePrefix="1" applyNumberFormat="1" applyFont="1" applyFill="1" applyBorder="1" applyAlignment="1">
      <alignment horizontal="center" vertical="center" wrapText="1"/>
    </xf>
    <xf numFmtId="181" fontId="12" fillId="3" borderId="1" xfId="16" applyNumberFormat="1" applyFont="1" applyFill="1" applyBorder="1" applyAlignment="1">
      <alignment vertical="center"/>
    </xf>
    <xf numFmtId="167" fontId="12" fillId="3" borderId="1" xfId="27" applyNumberFormat="1" applyFont="1" applyFill="1" applyBorder="1" applyAlignment="1">
      <alignment horizontal="left" vertical="center" wrapText="1"/>
    </xf>
    <xf numFmtId="167" fontId="12" fillId="3" borderId="1" xfId="27" applyNumberFormat="1" applyFont="1" applyFill="1" applyBorder="1" applyAlignment="1">
      <alignment horizontal="center" vertical="center" wrapText="1"/>
    </xf>
    <xf numFmtId="0" fontId="12" fillId="3" borderId="1" xfId="51" applyNumberFormat="1" applyFont="1" applyFill="1" applyBorder="1" applyAlignment="1">
      <alignment horizontal="center" vertical="center" wrapText="1"/>
    </xf>
    <xf numFmtId="49" fontId="12" fillId="3" borderId="1" xfId="16" applyNumberFormat="1" applyFont="1" applyFill="1" applyBorder="1" applyAlignment="1">
      <alignment horizontal="center" vertical="center" wrapText="1"/>
    </xf>
    <xf numFmtId="0" fontId="12" fillId="3" borderId="1" xfId="2" quotePrefix="1" applyNumberFormat="1" applyFont="1" applyFill="1" applyBorder="1" applyAlignment="1">
      <alignment horizontal="center" vertical="center" wrapText="1"/>
    </xf>
    <xf numFmtId="1" fontId="12" fillId="2" borderId="1" xfId="18" applyNumberFormat="1" applyFont="1" applyFill="1" applyBorder="1" applyAlignment="1">
      <alignment horizontal="left" vertical="center" wrapText="1"/>
    </xf>
    <xf numFmtId="1" fontId="12" fillId="2" borderId="1" xfId="18" applyNumberFormat="1" applyFont="1" applyFill="1" applyBorder="1" applyAlignment="1">
      <alignment horizontal="right" vertical="center" wrapText="1"/>
    </xf>
    <xf numFmtId="176" fontId="12" fillId="2" borderId="1" xfId="20" quotePrefix="1" applyNumberFormat="1" applyFont="1" applyFill="1" applyBorder="1" applyAlignment="1">
      <alignment horizontal="center" vertical="center" wrapText="1"/>
    </xf>
    <xf numFmtId="0" fontId="12" fillId="0" borderId="1" xfId="0" applyFont="1" applyFill="1" applyBorder="1" applyAlignment="1">
      <alignment wrapText="1"/>
    </xf>
    <xf numFmtId="0" fontId="241" fillId="0" borderId="1" xfId="47" applyNumberFormat="1" applyFont="1" applyFill="1" applyBorder="1" applyAlignment="1">
      <alignment horizontal="center" vertical="center" wrapText="1"/>
    </xf>
    <xf numFmtId="0" fontId="241" fillId="0" borderId="1" xfId="47" applyNumberFormat="1" applyFont="1" applyFill="1" applyBorder="1" applyAlignment="1">
      <alignment horizontal="right" vertical="center" wrapText="1"/>
    </xf>
    <xf numFmtId="176" fontId="274" fillId="0" borderId="1" xfId="16" applyNumberFormat="1" applyFont="1" applyBorder="1" applyAlignment="1">
      <alignment horizontal="center" vertical="center" wrapText="1"/>
    </xf>
    <xf numFmtId="0" fontId="273" fillId="0" borderId="1" xfId="51" applyNumberFormat="1" applyFont="1" applyFill="1" applyBorder="1" applyAlignment="1">
      <alignment horizontal="center" vertical="center" wrapText="1"/>
    </xf>
    <xf numFmtId="0" fontId="273" fillId="0" borderId="1" xfId="7" quotePrefix="1" applyNumberFormat="1" applyFont="1" applyFill="1" applyBorder="1" applyAlignment="1">
      <alignment horizontal="right" vertical="center" wrapText="1"/>
    </xf>
    <xf numFmtId="0" fontId="273" fillId="0" borderId="1" xfId="7" quotePrefix="1" applyNumberFormat="1" applyFont="1" applyFill="1" applyBorder="1" applyAlignment="1">
      <alignment horizontal="center" vertical="center" wrapText="1"/>
    </xf>
    <xf numFmtId="176" fontId="273" fillId="0" borderId="1" xfId="38" applyNumberFormat="1" applyFont="1" applyFill="1" applyBorder="1" applyAlignment="1">
      <alignment horizontal="center" vertical="center" wrapText="1"/>
    </xf>
    <xf numFmtId="181" fontId="273" fillId="0" borderId="1" xfId="16" applyNumberFormat="1" applyFont="1" applyFill="1" applyBorder="1" applyAlignment="1">
      <alignment horizontal="right" vertical="center"/>
    </xf>
    <xf numFmtId="0" fontId="12" fillId="0" borderId="1" xfId="7" applyNumberFormat="1" applyFont="1" applyFill="1" applyBorder="1" applyAlignment="1">
      <alignment horizontal="center" vertical="center" wrapText="1"/>
    </xf>
    <xf numFmtId="0" fontId="273" fillId="0" borderId="1" xfId="7" applyNumberFormat="1" applyFont="1" applyFill="1" applyBorder="1" applyAlignment="1">
      <alignment horizontal="right" vertical="center" wrapText="1"/>
    </xf>
    <xf numFmtId="0" fontId="273" fillId="0" borderId="1" xfId="7" applyNumberFormat="1" applyFont="1" applyFill="1" applyBorder="1" applyAlignment="1">
      <alignment horizontal="center" vertical="center" wrapText="1"/>
    </xf>
    <xf numFmtId="0" fontId="12" fillId="0" borderId="1" xfId="54" applyNumberFormat="1" applyFont="1" applyFill="1" applyBorder="1" applyAlignment="1">
      <alignment horizontal="left" vertical="center" wrapText="1"/>
    </xf>
    <xf numFmtId="0" fontId="12" fillId="0" borderId="1" xfId="55" applyNumberFormat="1" applyFont="1" applyFill="1" applyBorder="1" applyAlignment="1">
      <alignment horizontal="right" vertical="center" wrapText="1"/>
    </xf>
    <xf numFmtId="0" fontId="12" fillId="0" borderId="1" xfId="55" applyNumberFormat="1" applyFont="1" applyFill="1" applyBorder="1" applyAlignment="1">
      <alignment horizontal="center" vertical="center" wrapText="1"/>
    </xf>
    <xf numFmtId="2" fontId="12" fillId="0" borderId="1" xfId="39" applyNumberFormat="1" applyFont="1" applyFill="1" applyBorder="1" applyAlignment="1">
      <alignment horizontal="center" vertical="center" wrapText="1"/>
    </xf>
    <xf numFmtId="167" fontId="12" fillId="0" borderId="1" xfId="27" applyNumberFormat="1" applyFont="1" applyFill="1" applyBorder="1" applyAlignment="1">
      <alignment vertical="center" wrapText="1"/>
    </xf>
    <xf numFmtId="2" fontId="12" fillId="0" borderId="1" xfId="27" applyNumberFormat="1" applyFont="1" applyFill="1" applyBorder="1" applyAlignment="1">
      <alignment horizontal="center" vertical="center" wrapText="1"/>
    </xf>
    <xf numFmtId="3" fontId="12" fillId="0" borderId="1" xfId="21" applyNumberFormat="1" applyFont="1" applyFill="1" applyBorder="1" applyAlignment="1">
      <alignment horizontal="right" vertical="center" wrapText="1"/>
    </xf>
    <xf numFmtId="0" fontId="12" fillId="0" borderId="1" xfId="7" applyNumberFormat="1" applyFont="1" applyFill="1" applyBorder="1" applyAlignment="1">
      <alignment horizontal="right" vertical="center" wrapText="1"/>
    </xf>
    <xf numFmtId="167" fontId="12" fillId="2" borderId="1" xfId="39" applyNumberFormat="1" applyFont="1" applyFill="1" applyBorder="1" applyAlignment="1">
      <alignment horizontal="center" vertical="center" wrapText="1"/>
    </xf>
    <xf numFmtId="0" fontId="248" fillId="0" borderId="52" xfId="47" applyFont="1" applyFill="1" applyBorder="1" applyAlignment="1">
      <alignment horizontal="center" vertical="center" wrapText="1"/>
    </xf>
    <xf numFmtId="167" fontId="248" fillId="2" borderId="53" xfId="56" applyNumberFormat="1" applyFont="1" applyFill="1" applyBorder="1" applyAlignment="1">
      <alignment vertical="center" wrapText="1"/>
    </xf>
    <xf numFmtId="0" fontId="269" fillId="2" borderId="53" xfId="0" applyFont="1" applyFill="1" applyBorder="1" applyAlignment="1">
      <alignment horizontal="center" vertical="center" wrapText="1"/>
    </xf>
    <xf numFmtId="181" fontId="248" fillId="2" borderId="1" xfId="16" applyNumberFormat="1" applyFont="1" applyFill="1" applyBorder="1" applyAlignment="1">
      <alignment horizontal="right" vertical="center" wrapText="1"/>
    </xf>
    <xf numFmtId="181" fontId="269" fillId="2" borderId="53" xfId="0" applyNumberFormat="1" applyFont="1" applyFill="1" applyBorder="1"/>
    <xf numFmtId="0" fontId="269" fillId="2" borderId="0" xfId="0" applyFont="1" applyFill="1"/>
    <xf numFmtId="0" fontId="269" fillId="2" borderId="53" xfId="0" applyFont="1" applyFill="1" applyBorder="1" applyAlignment="1">
      <alignment horizontal="left" vertical="center"/>
    </xf>
    <xf numFmtId="0" fontId="12" fillId="0" borderId="2" xfId="47" applyFont="1" applyFill="1" applyBorder="1" applyAlignment="1">
      <alignment horizontal="center" vertical="center" wrapText="1"/>
    </xf>
    <xf numFmtId="167" fontId="12" fillId="0" borderId="2" xfId="56" applyNumberFormat="1" applyFont="1" applyFill="1" applyBorder="1" applyAlignment="1">
      <alignment vertical="center" wrapText="1"/>
    </xf>
    <xf numFmtId="2" fontId="12" fillId="0" borderId="2" xfId="56" applyNumberFormat="1" applyFont="1" applyFill="1" applyBorder="1" applyAlignment="1">
      <alignment horizontal="center" vertical="center" wrapText="1"/>
    </xf>
    <xf numFmtId="0" fontId="12" fillId="0" borderId="2" xfId="47" applyFont="1" applyFill="1" applyBorder="1" applyAlignment="1">
      <alignment horizontal="center" vertical="center"/>
    </xf>
    <xf numFmtId="0" fontId="12" fillId="0" borderId="2" xfId="16" applyNumberFormat="1" applyFont="1" applyFill="1" applyBorder="1" applyAlignment="1">
      <alignment horizontal="center" vertical="center"/>
    </xf>
    <xf numFmtId="181" fontId="12" fillId="0" borderId="2" xfId="16" applyNumberFormat="1" applyFont="1" applyFill="1" applyBorder="1" applyAlignment="1">
      <alignment horizontal="right" vertical="center" wrapText="1"/>
    </xf>
    <xf numFmtId="0" fontId="12" fillId="0" borderId="1" xfId="2" applyFont="1" applyFill="1" applyBorder="1" applyAlignment="1">
      <alignment horizontal="left" vertical="center" wrapText="1"/>
    </xf>
    <xf numFmtId="0" fontId="240" fillId="2" borderId="1" xfId="47" applyFont="1" applyFill="1" applyBorder="1" applyAlignment="1">
      <alignment horizontal="center" vertical="center" wrapText="1"/>
    </xf>
    <xf numFmtId="0" fontId="240" fillId="2" borderId="1" xfId="47" applyFont="1" applyFill="1" applyBorder="1" applyAlignment="1">
      <alignment horizontal="left" vertical="center" wrapText="1"/>
    </xf>
    <xf numFmtId="181" fontId="240" fillId="2" borderId="1" xfId="16" applyNumberFormat="1" applyFont="1" applyFill="1" applyBorder="1" applyAlignment="1">
      <alignment horizontal="right" vertical="center" wrapText="1"/>
    </xf>
    <xf numFmtId="0" fontId="240" fillId="0" borderId="1" xfId="47" applyFont="1" applyFill="1" applyBorder="1" applyAlignment="1">
      <alignment horizontal="center" vertical="center" wrapText="1"/>
    </xf>
    <xf numFmtId="0" fontId="240" fillId="0" borderId="1" xfId="47" applyFont="1" applyFill="1" applyBorder="1" applyAlignment="1">
      <alignment horizontal="left" vertical="center" wrapText="1"/>
    </xf>
    <xf numFmtId="181" fontId="240" fillId="0" borderId="1" xfId="16" applyNumberFormat="1" applyFont="1" applyFill="1" applyBorder="1" applyAlignment="1">
      <alignment horizontal="right" vertical="center" wrapText="1"/>
    </xf>
    <xf numFmtId="167" fontId="12" fillId="0" borderId="1" xfId="56" applyNumberFormat="1" applyFont="1" applyFill="1" applyBorder="1" applyAlignment="1">
      <alignment vertical="center" wrapText="1"/>
    </xf>
    <xf numFmtId="167" fontId="12" fillId="0" borderId="1" xfId="56" applyNumberFormat="1" applyFont="1" applyFill="1" applyBorder="1" applyAlignment="1">
      <alignment horizontal="center" vertical="center" wrapText="1"/>
    </xf>
    <xf numFmtId="167" fontId="12" fillId="2" borderId="1" xfId="56" applyNumberFormat="1" applyFont="1" applyFill="1" applyBorder="1" applyAlignment="1">
      <alignment horizontal="center" vertical="center" wrapText="1"/>
    </xf>
    <xf numFmtId="167" fontId="12" fillId="53" borderId="1" xfId="56" applyNumberFormat="1" applyFont="1" applyFill="1" applyBorder="1" applyAlignment="1">
      <alignment horizontal="center" vertical="center" wrapText="1"/>
    </xf>
    <xf numFmtId="2" fontId="12" fillId="0" borderId="1" xfId="56" applyNumberFormat="1" applyFont="1" applyFill="1" applyBorder="1" applyAlignment="1">
      <alignment horizontal="center" vertical="center" wrapText="1"/>
    </xf>
    <xf numFmtId="176" fontId="12" fillId="0" borderId="1" xfId="16" applyNumberFormat="1" applyFont="1" applyFill="1" applyBorder="1" applyAlignment="1">
      <alignment horizontal="center" vertical="center" wrapText="1"/>
    </xf>
    <xf numFmtId="0" fontId="12" fillId="53" borderId="1" xfId="47" applyFont="1" applyFill="1" applyBorder="1" applyAlignment="1">
      <alignment horizontal="center" vertical="center" wrapText="1"/>
    </xf>
    <xf numFmtId="167" fontId="240" fillId="0" borderId="1" xfId="56" applyNumberFormat="1" applyFont="1" applyFill="1" applyBorder="1" applyAlignment="1">
      <alignment vertical="center" wrapText="1"/>
    </xf>
    <xf numFmtId="2" fontId="240" fillId="0" borderId="1" xfId="56" applyNumberFormat="1" applyFont="1" applyFill="1" applyBorder="1" applyAlignment="1">
      <alignment horizontal="center" vertical="center" wrapText="1"/>
    </xf>
    <xf numFmtId="0" fontId="264" fillId="0" borderId="1" xfId="47" applyFont="1" applyFill="1" applyBorder="1" applyAlignment="1">
      <alignment horizontal="center" vertical="center"/>
    </xf>
    <xf numFmtId="0" fontId="264" fillId="0" borderId="1" xfId="16" applyNumberFormat="1" applyFont="1" applyFill="1" applyBorder="1" applyAlignment="1">
      <alignment horizontal="center" vertical="center"/>
    </xf>
    <xf numFmtId="181" fontId="240" fillId="0" borderId="1" xfId="1" applyNumberFormat="1" applyFont="1" applyFill="1" applyBorder="1" applyAlignment="1">
      <alignment horizontal="right" vertical="center"/>
    </xf>
    <xf numFmtId="0" fontId="265" fillId="0" borderId="0" xfId="0" applyFont="1" applyFill="1"/>
    <xf numFmtId="0" fontId="265" fillId="0" borderId="53" xfId="0" applyFont="1" applyFill="1" applyBorder="1" applyAlignment="1">
      <alignment horizontal="left" vertical="center"/>
    </xf>
    <xf numFmtId="0" fontId="265" fillId="0" borderId="53" xfId="0" applyFont="1" applyFill="1" applyBorder="1"/>
    <xf numFmtId="0" fontId="266" fillId="0" borderId="1" xfId="51" applyFont="1" applyFill="1" applyBorder="1" applyAlignment="1">
      <alignment vertical="center" wrapText="1"/>
    </xf>
    <xf numFmtId="0" fontId="12" fillId="0" borderId="0" xfId="0" applyFont="1" applyFill="1"/>
    <xf numFmtId="0" fontId="12" fillId="0" borderId="1" xfId="47" applyFont="1" applyFill="1" applyBorder="1" applyAlignment="1">
      <alignment horizontal="center" vertical="center"/>
    </xf>
    <xf numFmtId="0" fontId="12" fillId="0" borderId="1" xfId="16" applyNumberFormat="1" applyFont="1" applyFill="1" applyBorder="1" applyAlignment="1">
      <alignment horizontal="center" vertical="center"/>
    </xf>
    <xf numFmtId="3" fontId="12" fillId="0" borderId="1" xfId="51" applyNumberFormat="1" applyFont="1" applyFill="1" applyBorder="1" applyAlignment="1">
      <alignment horizontal="center" vertical="center" wrapText="1"/>
    </xf>
    <xf numFmtId="0" fontId="12" fillId="0" borderId="53" xfId="0" applyFont="1" applyFill="1" applyBorder="1" applyAlignment="1">
      <alignment horizontal="left" vertical="center"/>
    </xf>
    <xf numFmtId="0" fontId="12" fillId="0" borderId="53" xfId="0" applyFont="1" applyFill="1" applyBorder="1"/>
    <xf numFmtId="0" fontId="12" fillId="2" borderId="2" xfId="47" applyFont="1" applyFill="1" applyBorder="1" applyAlignment="1">
      <alignment horizontal="center" vertical="center" wrapText="1"/>
    </xf>
    <xf numFmtId="167" fontId="12" fillId="2" borderId="1" xfId="56" applyNumberFormat="1" applyFont="1" applyFill="1" applyBorder="1" applyAlignment="1">
      <alignment vertical="center" wrapText="1"/>
    </xf>
    <xf numFmtId="2" fontId="12" fillId="2" borderId="2" xfId="56" applyNumberFormat="1" applyFont="1" applyFill="1" applyBorder="1" applyAlignment="1">
      <alignment horizontal="center" vertical="center" wrapText="1"/>
    </xf>
    <xf numFmtId="0" fontId="12" fillId="2" borderId="2" xfId="47" applyFont="1" applyFill="1" applyBorder="1" applyAlignment="1">
      <alignment horizontal="center" vertical="center"/>
    </xf>
    <xf numFmtId="0" fontId="12" fillId="2" borderId="2" xfId="16" applyNumberFormat="1" applyFont="1" applyFill="1" applyBorder="1" applyAlignment="1">
      <alignment horizontal="center" vertical="center"/>
    </xf>
    <xf numFmtId="181" fontId="12" fillId="2" borderId="2" xfId="16" applyNumberFormat="1" applyFont="1" applyFill="1" applyBorder="1" applyAlignment="1">
      <alignment horizontal="right" vertical="center" wrapText="1"/>
    </xf>
    <xf numFmtId="0" fontId="240" fillId="0" borderId="53" xfId="5" applyNumberFormat="1" applyFont="1" applyFill="1" applyBorder="1" applyAlignment="1">
      <alignment horizontal="center" vertical="center"/>
    </xf>
    <xf numFmtId="1" fontId="240" fillId="3" borderId="53" xfId="53" applyNumberFormat="1" applyFont="1" applyFill="1" applyBorder="1" applyAlignment="1">
      <alignment horizontal="left" vertical="center" wrapText="1"/>
    </xf>
    <xf numFmtId="1" fontId="240" fillId="3" borderId="53" xfId="53" applyNumberFormat="1" applyFont="1" applyFill="1" applyBorder="1" applyAlignment="1">
      <alignment horizontal="center" vertical="center" wrapText="1"/>
    </xf>
    <xf numFmtId="1" fontId="240" fillId="0" borderId="53" xfId="80" applyNumberFormat="1" applyFont="1" applyFill="1" applyBorder="1" applyAlignment="1">
      <alignment horizontal="center" vertical="center" wrapText="1"/>
    </xf>
    <xf numFmtId="3" fontId="240" fillId="0" borderId="53" xfId="0" applyNumberFormat="1" applyFont="1" applyFill="1" applyBorder="1" applyAlignment="1">
      <alignment horizontal="right" vertical="center" wrapText="1"/>
    </xf>
    <xf numFmtId="3" fontId="240" fillId="2" borderId="53" xfId="0" applyNumberFormat="1" applyFont="1" applyFill="1" applyBorder="1" applyAlignment="1">
      <alignment horizontal="right" vertical="center" wrapText="1"/>
    </xf>
    <xf numFmtId="0" fontId="268" fillId="0" borderId="53" xfId="5" applyNumberFormat="1" applyFont="1" applyFill="1" applyBorder="1" applyAlignment="1">
      <alignment horizontal="center" vertical="center"/>
    </xf>
    <xf numFmtId="1" fontId="268" fillId="0" borderId="53" xfId="53" applyNumberFormat="1" applyFont="1" applyFill="1" applyBorder="1" applyAlignment="1">
      <alignment horizontal="left" vertical="center" wrapText="1"/>
    </xf>
    <xf numFmtId="1" fontId="268" fillId="0" borderId="53" xfId="53" applyNumberFormat="1" applyFont="1" applyFill="1" applyBorder="1" applyAlignment="1">
      <alignment horizontal="center" vertical="center" wrapText="1"/>
    </xf>
    <xf numFmtId="3" fontId="268" fillId="0" borderId="53" xfId="0" applyNumberFormat="1" applyFont="1" applyFill="1" applyBorder="1" applyAlignment="1">
      <alignment horizontal="right" vertical="center" wrapText="1"/>
    </xf>
    <xf numFmtId="3" fontId="268" fillId="2" borderId="53" xfId="0" applyNumberFormat="1" applyFont="1" applyFill="1" applyBorder="1" applyAlignment="1">
      <alignment horizontal="right" vertical="center" wrapText="1"/>
    </xf>
    <xf numFmtId="0" fontId="12" fillId="0" borderId="4" xfId="0" applyFont="1" applyFill="1" applyBorder="1" applyAlignment="1">
      <alignment horizontal="left" vertical="center" wrapText="1"/>
    </xf>
    <xf numFmtId="0" fontId="259" fillId="0" borderId="4" xfId="49" applyFont="1" applyFill="1" applyBorder="1" applyAlignment="1">
      <alignment horizontal="center" vertical="center" wrapText="1"/>
    </xf>
    <xf numFmtId="1" fontId="12" fillId="0" borderId="53" xfId="7" quotePrefix="1" applyNumberFormat="1" applyFont="1" applyFill="1" applyBorder="1" applyAlignment="1">
      <alignment horizontal="center" vertical="center" wrapText="1"/>
    </xf>
    <xf numFmtId="3" fontId="12" fillId="0" borderId="4" xfId="0" applyNumberFormat="1" applyFont="1" applyFill="1" applyBorder="1" applyAlignment="1">
      <alignment horizontal="right" vertical="center" wrapText="1"/>
    </xf>
    <xf numFmtId="3" fontId="12" fillId="0" borderId="53" xfId="0" applyNumberFormat="1" applyFont="1" applyFill="1" applyBorder="1" applyAlignment="1">
      <alignment horizontal="right" vertical="center"/>
    </xf>
    <xf numFmtId="0" fontId="241" fillId="0" borderId="53" xfId="49" applyFont="1" applyFill="1" applyBorder="1" applyAlignment="1">
      <alignment horizontal="center" vertical="center" wrapText="1"/>
    </xf>
    <xf numFmtId="0" fontId="241" fillId="2" borderId="53" xfId="0" applyFont="1" applyFill="1" applyBorder="1" applyAlignment="1">
      <alignment horizontal="center" vertical="center" wrapText="1"/>
    </xf>
    <xf numFmtId="0" fontId="259" fillId="0" borderId="4" xfId="49" applyFont="1" applyFill="1" applyBorder="1" applyAlignment="1">
      <alignment horizontal="left" vertical="center" wrapText="1"/>
    </xf>
    <xf numFmtId="3" fontId="259" fillId="0" borderId="4" xfId="0" applyNumberFormat="1" applyFont="1" applyFill="1" applyBorder="1" applyAlignment="1">
      <alignment horizontal="right" vertical="center"/>
    </xf>
    <xf numFmtId="176" fontId="259" fillId="58" borderId="53" xfId="1" applyNumberFormat="1" applyFont="1" applyFill="1" applyBorder="1" applyAlignment="1">
      <alignment horizontal="right" vertical="center"/>
    </xf>
    <xf numFmtId="181" fontId="259" fillId="0" borderId="53" xfId="1742" applyNumberFormat="1" applyFont="1" applyFill="1" applyBorder="1" applyAlignment="1">
      <alignment vertical="center"/>
    </xf>
    <xf numFmtId="1" fontId="259" fillId="0" borderId="53" xfId="80" applyNumberFormat="1" applyFont="1" applyFill="1" applyBorder="1" applyAlignment="1">
      <alignment horizontal="center" vertical="center"/>
    </xf>
    <xf numFmtId="167" fontId="259" fillId="2" borderId="53" xfId="39" applyNumberFormat="1" applyFont="1" applyFill="1" applyBorder="1" applyAlignment="1">
      <alignment horizontal="center" vertical="center" wrapText="1"/>
    </xf>
    <xf numFmtId="0" fontId="259" fillId="3" borderId="53" xfId="49" applyFont="1" applyFill="1" applyBorder="1" applyAlignment="1">
      <alignment horizontal="center" vertical="center" wrapText="1"/>
    </xf>
    <xf numFmtId="167" fontId="12" fillId="57" borderId="53" xfId="39" applyNumberFormat="1" applyFont="1" applyFill="1" applyBorder="1" applyAlignment="1">
      <alignment horizontal="center" vertical="center" wrapText="1"/>
    </xf>
    <xf numFmtId="3" fontId="259" fillId="0" borderId="53" xfId="0" applyNumberFormat="1" applyFont="1" applyFill="1" applyBorder="1" applyAlignment="1">
      <alignment horizontal="right" vertical="center"/>
    </xf>
    <xf numFmtId="176" fontId="259" fillId="0" borderId="53" xfId="4305" applyNumberFormat="1" applyFont="1" applyFill="1" applyBorder="1" applyAlignment="1">
      <alignment horizontal="center" vertical="center" wrapText="1"/>
    </xf>
    <xf numFmtId="167" fontId="12" fillId="2" borderId="53" xfId="39" applyNumberFormat="1" applyFont="1" applyFill="1" applyBorder="1" applyAlignment="1">
      <alignment horizontal="center" vertical="center" wrapText="1"/>
    </xf>
    <xf numFmtId="1" fontId="259" fillId="0" borderId="53" xfId="7" quotePrefix="1" applyNumberFormat="1" applyFont="1" applyFill="1" applyBorder="1" applyAlignment="1">
      <alignment horizontal="center" vertical="center" wrapText="1"/>
    </xf>
    <xf numFmtId="167" fontId="259" fillId="60" borderId="53" xfId="39" applyNumberFormat="1" applyFont="1" applyFill="1" applyBorder="1" applyAlignment="1">
      <alignment horizontal="center" vertical="center" wrapText="1"/>
    </xf>
    <xf numFmtId="0" fontId="12" fillId="0" borderId="53" xfId="49" applyFont="1" applyFill="1" applyBorder="1" applyAlignment="1">
      <alignment horizontal="center" vertical="center" wrapText="1"/>
    </xf>
    <xf numFmtId="176" fontId="259" fillId="2" borderId="53" xfId="1" applyNumberFormat="1" applyFont="1" applyFill="1" applyBorder="1" applyAlignment="1">
      <alignment horizontal="right" vertical="center" wrapText="1"/>
    </xf>
    <xf numFmtId="0" fontId="12" fillId="61" borderId="53" xfId="5" applyNumberFormat="1" applyFont="1" applyFill="1" applyBorder="1" applyAlignment="1">
      <alignment horizontal="center" vertical="center"/>
    </xf>
    <xf numFmtId="0" fontId="259" fillId="61" borderId="53" xfId="0" applyFont="1" applyFill="1" applyBorder="1" applyAlignment="1">
      <alignment horizontal="left" vertical="center" wrapText="1"/>
    </xf>
    <xf numFmtId="0" fontId="259" fillId="61" borderId="53" xfId="49" applyFont="1" applyFill="1" applyBorder="1" applyAlignment="1">
      <alignment horizontal="center" vertical="center" wrapText="1"/>
    </xf>
    <xf numFmtId="1" fontId="259" fillId="61" borderId="53" xfId="80" applyNumberFormat="1" applyFont="1" applyFill="1" applyBorder="1" applyAlignment="1">
      <alignment horizontal="center" vertical="center" wrapText="1"/>
    </xf>
    <xf numFmtId="167" fontId="259" fillId="55" borderId="53" xfId="39" applyNumberFormat="1" applyFont="1" applyFill="1" applyBorder="1" applyAlignment="1">
      <alignment horizontal="center" vertical="center" wrapText="1"/>
    </xf>
    <xf numFmtId="3" fontId="259" fillId="57" borderId="4" xfId="0" applyNumberFormat="1" applyFont="1" applyFill="1" applyBorder="1" applyAlignment="1">
      <alignment horizontal="right" vertical="center"/>
    </xf>
    <xf numFmtId="3" fontId="259" fillId="57" borderId="53" xfId="0" applyNumberFormat="1" applyFont="1" applyFill="1" applyBorder="1" applyAlignment="1">
      <alignment horizontal="right" vertical="center"/>
    </xf>
    <xf numFmtId="3" fontId="259" fillId="61" borderId="53" xfId="0" applyNumberFormat="1" applyFont="1" applyFill="1" applyBorder="1" applyAlignment="1">
      <alignment horizontal="right" vertical="center"/>
    </xf>
    <xf numFmtId="3" fontId="12" fillId="61" borderId="53" xfId="0" applyNumberFormat="1" applyFont="1" applyFill="1" applyBorder="1" applyAlignment="1">
      <alignment horizontal="right" vertical="center"/>
    </xf>
    <xf numFmtId="181" fontId="259" fillId="61" borderId="53" xfId="1742" applyNumberFormat="1" applyFont="1" applyFill="1" applyBorder="1" applyAlignment="1">
      <alignment vertical="center"/>
    </xf>
    <xf numFmtId="1" fontId="12" fillId="61" borderId="53" xfId="80" applyNumberFormat="1" applyFont="1" applyFill="1" applyBorder="1" applyAlignment="1">
      <alignment horizontal="center" vertical="center"/>
    </xf>
    <xf numFmtId="176" fontId="12" fillId="61" borderId="53" xfId="1" applyNumberFormat="1" applyFont="1" applyFill="1" applyBorder="1" applyAlignment="1">
      <alignment horizontal="center" vertical="center" wrapText="1"/>
    </xf>
    <xf numFmtId="176" fontId="259" fillId="61" borderId="53" xfId="1" applyNumberFormat="1" applyFont="1" applyFill="1" applyBorder="1" applyAlignment="1">
      <alignment horizontal="center" vertical="center" wrapText="1"/>
    </xf>
    <xf numFmtId="167" fontId="259" fillId="61" borderId="53" xfId="39" applyNumberFormat="1" applyFont="1" applyFill="1" applyBorder="1" applyAlignment="1">
      <alignment horizontal="center" vertical="center" wrapText="1"/>
    </xf>
    <xf numFmtId="0" fontId="241" fillId="61" borderId="53" xfId="5" applyNumberFormat="1" applyFont="1" applyFill="1" applyBorder="1" applyAlignment="1">
      <alignment horizontal="center" vertical="center"/>
    </xf>
    <xf numFmtId="0" fontId="259" fillId="61" borderId="53" xfId="49" applyFont="1" applyFill="1" applyBorder="1" applyAlignment="1">
      <alignment vertical="center" wrapText="1"/>
    </xf>
    <xf numFmtId="176" fontId="259" fillId="57" borderId="4" xfId="49" applyNumberFormat="1" applyFont="1" applyFill="1" applyBorder="1" applyAlignment="1">
      <alignment horizontal="right" vertical="center" wrapText="1"/>
    </xf>
    <xf numFmtId="0" fontId="259" fillId="0" borderId="53" xfId="0" applyFont="1" applyFill="1" applyBorder="1" applyAlignment="1">
      <alignment horizontal="left" vertical="center" wrapText="1"/>
    </xf>
    <xf numFmtId="167" fontId="259" fillId="57" borderId="53" xfId="39" applyNumberFormat="1" applyFont="1" applyFill="1" applyBorder="1" applyAlignment="1">
      <alignment horizontal="center" vertical="center" wrapText="1"/>
    </xf>
    <xf numFmtId="0" fontId="259" fillId="0" borderId="4" xfId="0" applyFont="1" applyFill="1" applyBorder="1" applyAlignment="1">
      <alignment horizontal="left" vertical="center" wrapText="1"/>
    </xf>
    <xf numFmtId="3" fontId="259" fillId="0" borderId="4" xfId="0" applyNumberFormat="1" applyFont="1" applyFill="1" applyBorder="1" applyAlignment="1">
      <alignment horizontal="right" vertical="center" wrapText="1"/>
    </xf>
    <xf numFmtId="3" fontId="259" fillId="0" borderId="53" xfId="0" applyNumberFormat="1" applyFont="1" applyFill="1" applyBorder="1" applyAlignment="1">
      <alignment horizontal="right" vertical="center" wrapText="1"/>
    </xf>
    <xf numFmtId="0" fontId="242" fillId="3" borderId="53" xfId="5" applyNumberFormat="1" applyFont="1" applyFill="1" applyBorder="1" applyAlignment="1">
      <alignment horizontal="center" vertical="center"/>
    </xf>
    <xf numFmtId="1" fontId="242" fillId="3" borderId="53" xfId="53" applyNumberFormat="1" applyFont="1" applyFill="1" applyBorder="1" applyAlignment="1">
      <alignment horizontal="left" vertical="center" wrapText="1"/>
    </xf>
    <xf numFmtId="1" fontId="242" fillId="3" borderId="53" xfId="53" applyNumberFormat="1" applyFont="1" applyFill="1" applyBorder="1" applyAlignment="1">
      <alignment horizontal="center" vertical="center" wrapText="1"/>
    </xf>
    <xf numFmtId="3" fontId="242" fillId="3" borderId="53" xfId="80" quotePrefix="1" applyNumberFormat="1" applyFont="1" applyFill="1" applyBorder="1" applyAlignment="1">
      <alignment horizontal="center" vertical="center" wrapText="1"/>
    </xf>
    <xf numFmtId="176" fontId="242" fillId="3" borderId="53" xfId="1" applyNumberFormat="1" applyFont="1" applyFill="1" applyBorder="1" applyAlignment="1">
      <alignment horizontal="right" vertical="center"/>
    </xf>
    <xf numFmtId="1" fontId="241" fillId="3" borderId="53" xfId="80" applyNumberFormat="1" applyFont="1" applyFill="1" applyBorder="1" applyAlignment="1">
      <alignment horizontal="center" vertical="center"/>
    </xf>
    <xf numFmtId="1" fontId="241" fillId="3" borderId="53" xfId="80" applyNumberFormat="1" applyFont="1" applyFill="1" applyBorder="1" applyAlignment="1">
      <alignment vertical="center"/>
    </xf>
    <xf numFmtId="3" fontId="242" fillId="2" borderId="53" xfId="80" quotePrefix="1" applyNumberFormat="1" applyFont="1" applyFill="1" applyBorder="1" applyAlignment="1">
      <alignment horizontal="center" vertical="center" wrapText="1"/>
    </xf>
    <xf numFmtId="1" fontId="241" fillId="0" borderId="53" xfId="53" applyNumberFormat="1" applyFont="1" applyFill="1" applyBorder="1" applyAlignment="1">
      <alignment horizontal="left" vertical="center" wrapText="1"/>
    </xf>
    <xf numFmtId="1" fontId="241" fillId="0" borderId="53" xfId="53" applyNumberFormat="1" applyFont="1" applyFill="1" applyBorder="1" applyAlignment="1">
      <alignment horizontal="center" vertical="center" wrapText="1"/>
    </xf>
    <xf numFmtId="3" fontId="241" fillId="0" borderId="53" xfId="0" applyNumberFormat="1" applyFont="1" applyFill="1" applyBorder="1" applyAlignment="1">
      <alignment horizontal="right" vertical="center" wrapText="1"/>
    </xf>
    <xf numFmtId="3" fontId="241" fillId="2" borderId="53" xfId="0" applyNumberFormat="1" applyFont="1" applyFill="1" applyBorder="1" applyAlignment="1">
      <alignment horizontal="right" vertical="center" wrapText="1"/>
    </xf>
    <xf numFmtId="0" fontId="12" fillId="3" borderId="53" xfId="5" applyNumberFormat="1" applyFont="1" applyFill="1" applyBorder="1" applyAlignment="1">
      <alignment horizontal="center" vertical="center"/>
    </xf>
    <xf numFmtId="0" fontId="12" fillId="3" borderId="53" xfId="49" applyFont="1" applyFill="1" applyBorder="1" applyAlignment="1">
      <alignment vertical="center" wrapText="1"/>
    </xf>
    <xf numFmtId="1" fontId="12" fillId="3" borderId="53" xfId="80" applyNumberFormat="1" applyFont="1" applyFill="1" applyBorder="1" applyAlignment="1">
      <alignment horizontal="center" vertical="center" wrapText="1"/>
    </xf>
    <xf numFmtId="167" fontId="12" fillId="3" borderId="53" xfId="39" applyNumberFormat="1" applyFont="1" applyFill="1" applyBorder="1" applyAlignment="1">
      <alignment horizontal="center" vertical="center" wrapText="1"/>
    </xf>
    <xf numFmtId="176" fontId="12" fillId="3" borderId="53" xfId="49" applyNumberFormat="1" applyFont="1" applyFill="1" applyBorder="1" applyAlignment="1">
      <alignment horizontal="right" vertical="center" wrapText="1"/>
    </xf>
    <xf numFmtId="181" fontId="12" fillId="3" borderId="53" xfId="1742" applyNumberFormat="1" applyFont="1" applyFill="1" applyBorder="1" applyAlignment="1">
      <alignment vertical="center"/>
    </xf>
    <xf numFmtId="0" fontId="12" fillId="3" borderId="53" xfId="0" applyFont="1" applyFill="1" applyBorder="1" applyAlignment="1">
      <alignment horizontal="center" vertical="center" wrapText="1"/>
    </xf>
    <xf numFmtId="0" fontId="12" fillId="3" borderId="53" xfId="49" applyFont="1" applyFill="1" applyBorder="1" applyAlignment="1">
      <alignment horizontal="center" vertical="center" wrapText="1"/>
    </xf>
    <xf numFmtId="0" fontId="12" fillId="0" borderId="53" xfId="49" applyFont="1" applyFill="1" applyBorder="1" applyAlignment="1">
      <alignment horizontal="left" vertical="center" wrapText="1"/>
    </xf>
    <xf numFmtId="167" fontId="12" fillId="0" borderId="53" xfId="39" applyNumberFormat="1" applyFont="1" applyFill="1" applyBorder="1" applyAlignment="1">
      <alignment horizontal="center" vertical="center" wrapText="1"/>
    </xf>
    <xf numFmtId="176" fontId="12" fillId="0" borderId="53" xfId="49" applyNumberFormat="1" applyFont="1" applyFill="1" applyBorder="1" applyAlignment="1">
      <alignment horizontal="right" vertical="center" wrapText="1"/>
    </xf>
    <xf numFmtId="176" fontId="12" fillId="3" borderId="53" xfId="1" applyNumberFormat="1" applyFont="1" applyFill="1" applyBorder="1" applyAlignment="1">
      <alignment horizontal="center" vertical="center" wrapText="1"/>
    </xf>
    <xf numFmtId="3" fontId="12" fillId="3" borderId="53" xfId="0" applyNumberFormat="1" applyFont="1" applyFill="1" applyBorder="1" applyAlignment="1">
      <alignment horizontal="right" vertical="center" wrapText="1"/>
    </xf>
    <xf numFmtId="1" fontId="12" fillId="3" borderId="53" xfId="80" applyNumberFormat="1" applyFont="1" applyFill="1" applyBorder="1" applyAlignment="1">
      <alignment vertical="center"/>
    </xf>
    <xf numFmtId="0" fontId="266" fillId="0" borderId="53" xfId="0" applyFont="1" applyFill="1" applyBorder="1" applyAlignment="1">
      <alignment horizontal="left" vertical="center" wrapText="1"/>
    </xf>
    <xf numFmtId="181" fontId="12" fillId="0" borderId="53" xfId="1742" applyNumberFormat="1" applyFont="1" applyFill="1" applyBorder="1" applyAlignment="1">
      <alignment vertical="center"/>
    </xf>
    <xf numFmtId="3" fontId="12" fillId="0" borderId="53" xfId="0" applyNumberFormat="1" applyFont="1" applyFill="1" applyBorder="1" applyAlignment="1">
      <alignment horizontal="right" vertical="center" wrapText="1"/>
    </xf>
    <xf numFmtId="0" fontId="12" fillId="0" borderId="53" xfId="49" applyFont="1" applyFill="1" applyBorder="1" applyAlignment="1">
      <alignment vertical="center" wrapText="1"/>
    </xf>
    <xf numFmtId="0" fontId="12" fillId="3" borderId="53" xfId="0" applyFont="1" applyFill="1" applyBorder="1" applyAlignment="1">
      <alignment horizontal="left" vertical="center" wrapText="1"/>
    </xf>
    <xf numFmtId="1" fontId="267" fillId="3" borderId="53" xfId="80" applyNumberFormat="1" applyFont="1" applyFill="1" applyBorder="1" applyAlignment="1">
      <alignment horizontal="center" vertical="center" wrapText="1"/>
    </xf>
    <xf numFmtId="3" fontId="12" fillId="3" borderId="53" xfId="0" applyNumberFormat="1" applyFont="1" applyFill="1" applyBorder="1" applyAlignment="1">
      <alignment horizontal="right" vertical="center"/>
    </xf>
    <xf numFmtId="176" fontId="12" fillId="3" borderId="53" xfId="4305" applyNumberFormat="1" applyFont="1" applyFill="1" applyBorder="1" applyAlignment="1">
      <alignment horizontal="center" vertical="center" wrapText="1"/>
    </xf>
    <xf numFmtId="0" fontId="259" fillId="57" borderId="53" xfId="49" applyFont="1" applyFill="1" applyBorder="1" applyAlignment="1">
      <alignment horizontal="center" vertical="center" wrapText="1"/>
    </xf>
    <xf numFmtId="1" fontId="267" fillId="0" borderId="53" xfId="80" applyNumberFormat="1" applyFont="1" applyFill="1" applyBorder="1" applyAlignment="1">
      <alignment horizontal="center" vertical="center" wrapText="1"/>
    </xf>
    <xf numFmtId="0" fontId="12" fillId="62" borderId="53" xfId="0" applyFont="1" applyFill="1" applyBorder="1" applyAlignment="1">
      <alignment horizontal="left" vertical="center" wrapText="1"/>
    </xf>
    <xf numFmtId="167" fontId="12" fillId="55" borderId="53" xfId="39" applyNumberFormat="1" applyFont="1" applyFill="1" applyBorder="1" applyAlignment="1">
      <alignment horizontal="center" vertical="center" wrapText="1"/>
    </xf>
    <xf numFmtId="181" fontId="12" fillId="3" borderId="53" xfId="1742" applyNumberFormat="1" applyFont="1" applyFill="1" applyBorder="1" applyAlignment="1">
      <alignment horizontal="center" vertical="center" wrapText="1"/>
    </xf>
    <xf numFmtId="0" fontId="12" fillId="52" borderId="53" xfId="49" applyFont="1" applyFill="1" applyBorder="1" applyAlignment="1">
      <alignment vertical="center" wrapText="1"/>
    </xf>
    <xf numFmtId="1" fontId="242" fillId="2" borderId="53" xfId="7" quotePrefix="1" applyNumberFormat="1" applyFont="1" applyFill="1" applyBorder="1" applyAlignment="1">
      <alignment horizontal="center" vertical="center" wrapText="1"/>
    </xf>
    <xf numFmtId="1" fontId="12" fillId="3" borderId="53" xfId="7" quotePrefix="1" applyNumberFormat="1" applyFont="1" applyFill="1" applyBorder="1" applyAlignment="1">
      <alignment horizontal="center" vertical="center" wrapText="1"/>
    </xf>
    <xf numFmtId="3" fontId="12" fillId="3" borderId="53" xfId="20" applyNumberFormat="1" applyFont="1" applyFill="1" applyBorder="1" applyAlignment="1">
      <alignment horizontal="center" vertical="center" wrapText="1"/>
    </xf>
    <xf numFmtId="0" fontId="12" fillId="2" borderId="53" xfId="49" applyFont="1" applyFill="1" applyBorder="1" applyAlignment="1">
      <alignment vertical="center" wrapText="1"/>
    </xf>
    <xf numFmtId="1" fontId="267" fillId="2" borderId="53" xfId="80" applyNumberFormat="1" applyFont="1" applyFill="1" applyBorder="1" applyAlignment="1">
      <alignment horizontal="center" vertical="center" wrapText="1"/>
    </xf>
    <xf numFmtId="0" fontId="12" fillId="53" borderId="53" xfId="0" applyFont="1" applyFill="1" applyBorder="1" applyAlignment="1">
      <alignment horizontal="center" vertical="center" wrapText="1"/>
    </xf>
    <xf numFmtId="176" fontId="12" fillId="2" borderId="53" xfId="49" applyNumberFormat="1" applyFont="1" applyFill="1" applyBorder="1" applyAlignment="1">
      <alignment horizontal="right" vertical="center" wrapText="1"/>
    </xf>
    <xf numFmtId="3" fontId="12" fillId="2" borderId="53" xfId="0" applyNumberFormat="1" applyFont="1" applyFill="1" applyBorder="1" applyAlignment="1">
      <alignment horizontal="right" vertical="center"/>
    </xf>
    <xf numFmtId="181" fontId="12" fillId="2" borderId="53" xfId="1742" applyNumberFormat="1" applyFont="1" applyFill="1" applyBorder="1" applyAlignment="1">
      <alignment vertical="center"/>
    </xf>
    <xf numFmtId="0" fontId="12" fillId="2" borderId="53" xfId="49" applyFont="1" applyFill="1" applyBorder="1" applyAlignment="1">
      <alignment horizontal="center" vertical="center" wrapText="1"/>
    </xf>
    <xf numFmtId="0" fontId="273" fillId="0" borderId="53" xfId="0" applyFont="1" applyFill="1" applyBorder="1" applyAlignment="1">
      <alignment horizontal="left" vertical="center" wrapText="1"/>
    </xf>
    <xf numFmtId="176" fontId="241" fillId="0" borderId="53" xfId="1" applyNumberFormat="1" applyFont="1" applyFill="1" applyBorder="1" applyAlignment="1">
      <alignment horizontal="center" vertical="center" wrapText="1"/>
    </xf>
    <xf numFmtId="0" fontId="273" fillId="0" borderId="52" xfId="0" applyFont="1" applyFill="1" applyBorder="1" applyAlignment="1">
      <alignment horizontal="left" vertical="center" wrapText="1"/>
    </xf>
    <xf numFmtId="1" fontId="267" fillId="0" borderId="52" xfId="80" applyNumberFormat="1" applyFont="1" applyFill="1" applyBorder="1" applyAlignment="1">
      <alignment horizontal="center" vertical="center" wrapText="1"/>
    </xf>
    <xf numFmtId="167" fontId="12" fillId="59" borderId="52" xfId="39" applyNumberFormat="1" applyFont="1" applyFill="1" applyBorder="1" applyAlignment="1">
      <alignment horizontal="center" vertical="center" wrapText="1"/>
    </xf>
    <xf numFmtId="181" fontId="12" fillId="0" borderId="52" xfId="1742" applyNumberFormat="1" applyFont="1" applyFill="1" applyBorder="1" applyAlignment="1">
      <alignment vertical="center"/>
    </xf>
    <xf numFmtId="0" fontId="241" fillId="0" borderId="52" xfId="49" applyFont="1" applyFill="1" applyBorder="1" applyAlignment="1">
      <alignment vertical="center" wrapText="1"/>
    </xf>
    <xf numFmtId="0" fontId="259" fillId="0" borderId="52" xfId="49" applyFont="1" applyFill="1" applyBorder="1" applyAlignment="1">
      <alignment horizontal="center" vertical="center" wrapText="1"/>
    </xf>
    <xf numFmtId="1" fontId="241" fillId="0" borderId="52" xfId="80" applyNumberFormat="1" applyFont="1" applyFill="1" applyBorder="1" applyAlignment="1">
      <alignment horizontal="center" vertical="center" wrapText="1"/>
    </xf>
    <xf numFmtId="167" fontId="241" fillId="59" borderId="52" xfId="39" applyNumberFormat="1" applyFont="1" applyFill="1" applyBorder="1" applyAlignment="1">
      <alignment horizontal="center" vertical="center" wrapText="1"/>
    </xf>
    <xf numFmtId="181" fontId="241" fillId="0" borderId="52" xfId="1742" applyNumberFormat="1" applyFont="1" applyFill="1" applyBorder="1" applyAlignment="1">
      <alignment vertical="center"/>
    </xf>
    <xf numFmtId="0" fontId="248" fillId="0" borderId="53" xfId="5" applyNumberFormat="1" applyFont="1" applyFill="1" applyBorder="1" applyAlignment="1">
      <alignment horizontal="center" vertical="center"/>
    </xf>
    <xf numFmtId="0" fontId="248" fillId="0" borderId="53" xfId="49" applyFont="1" applyFill="1" applyBorder="1" applyAlignment="1">
      <alignment vertical="center" wrapText="1"/>
    </xf>
    <xf numFmtId="0" fontId="248" fillId="0" borderId="53" xfId="49" applyFont="1" applyFill="1" applyBorder="1" applyAlignment="1">
      <alignment horizontal="center" vertical="center" wrapText="1"/>
    </xf>
    <xf numFmtId="1" fontId="268" fillId="0" borderId="53" xfId="7" quotePrefix="1" applyNumberFormat="1" applyFont="1" applyFill="1" applyBorder="1" applyAlignment="1">
      <alignment horizontal="center" vertical="center" wrapText="1"/>
    </xf>
    <xf numFmtId="176" fontId="268" fillId="0" borderId="53" xfId="1" applyNumberFormat="1" applyFont="1" applyFill="1" applyBorder="1" applyAlignment="1">
      <alignment horizontal="right" vertical="center"/>
    </xf>
    <xf numFmtId="1" fontId="240" fillId="0" borderId="53" xfId="80" applyNumberFormat="1" applyFont="1" applyFill="1" applyBorder="1" applyAlignment="1">
      <alignment horizontal="center" vertical="center"/>
    </xf>
    <xf numFmtId="176" fontId="268" fillId="2" borderId="53" xfId="1" applyNumberFormat="1" applyFont="1" applyFill="1" applyBorder="1" applyAlignment="1">
      <alignment horizontal="right" vertical="center"/>
    </xf>
    <xf numFmtId="167" fontId="12" fillId="61" borderId="53" xfId="39" applyNumberFormat="1" applyFont="1" applyFill="1" applyBorder="1" applyAlignment="1">
      <alignment horizontal="center" vertical="center" wrapText="1"/>
    </xf>
    <xf numFmtId="181" fontId="12" fillId="0" borderId="53" xfId="1742" applyNumberFormat="1" applyFont="1" applyFill="1" applyBorder="1" applyAlignment="1">
      <alignment horizontal="center" vertical="center" wrapText="1"/>
    </xf>
    <xf numFmtId="0" fontId="259" fillId="0" borderId="4" xfId="49" applyFont="1" applyFill="1" applyBorder="1" applyAlignment="1">
      <alignment vertical="center" wrapText="1"/>
    </xf>
    <xf numFmtId="176" fontId="259" fillId="2" borderId="53" xfId="1" applyNumberFormat="1" applyFont="1" applyFill="1" applyBorder="1" applyAlignment="1">
      <alignment horizontal="right" vertical="center"/>
    </xf>
    <xf numFmtId="0" fontId="259" fillId="3" borderId="53" xfId="49" applyFont="1" applyFill="1" applyBorder="1" applyAlignment="1">
      <alignment vertical="center" wrapText="1"/>
    </xf>
    <xf numFmtId="1" fontId="259" fillId="3" borderId="53" xfId="80" applyNumberFormat="1" applyFont="1" applyFill="1" applyBorder="1" applyAlignment="1">
      <alignment horizontal="center" vertical="center" wrapText="1"/>
    </xf>
    <xf numFmtId="1" fontId="259" fillId="3" borderId="53" xfId="7" quotePrefix="1" applyNumberFormat="1" applyFont="1" applyFill="1" applyBorder="1" applyAlignment="1">
      <alignment horizontal="center" vertical="center" wrapText="1"/>
    </xf>
    <xf numFmtId="176" fontId="259" fillId="3" borderId="4" xfId="49" applyNumberFormat="1" applyFont="1" applyFill="1" applyBorder="1" applyAlignment="1">
      <alignment horizontal="right" vertical="center" wrapText="1"/>
    </xf>
    <xf numFmtId="3" fontId="259" fillId="3" borderId="53" xfId="0" applyNumberFormat="1" applyFont="1" applyFill="1" applyBorder="1" applyAlignment="1">
      <alignment horizontal="right" vertical="center"/>
    </xf>
    <xf numFmtId="0" fontId="12" fillId="62" borderId="53" xfId="49" applyFont="1" applyFill="1" applyBorder="1" applyAlignment="1">
      <alignment vertical="center" wrapText="1"/>
    </xf>
    <xf numFmtId="0" fontId="12" fillId="57" borderId="52" xfId="0" applyFont="1" applyFill="1" applyBorder="1" applyAlignment="1">
      <alignment horizontal="center" vertical="center" wrapText="1"/>
    </xf>
    <xf numFmtId="0" fontId="12" fillId="61" borderId="52" xfId="0" applyFont="1" applyFill="1" applyBorder="1" applyAlignment="1">
      <alignment horizontal="left" vertical="center" wrapText="1"/>
    </xf>
    <xf numFmtId="0" fontId="259" fillId="61" borderId="52" xfId="49" applyFont="1" applyFill="1" applyBorder="1" applyAlignment="1">
      <alignment horizontal="center" vertical="center" wrapText="1"/>
    </xf>
    <xf numFmtId="1" fontId="12" fillId="61" borderId="52" xfId="80" applyNumberFormat="1" applyFont="1" applyFill="1" applyBorder="1" applyAlignment="1">
      <alignment horizontal="center" vertical="center" wrapText="1"/>
    </xf>
    <xf numFmtId="1" fontId="12" fillId="61" borderId="52" xfId="7" quotePrefix="1" applyNumberFormat="1" applyFont="1" applyFill="1" applyBorder="1" applyAlignment="1">
      <alignment horizontal="center" vertical="center" wrapText="1"/>
    </xf>
    <xf numFmtId="3" fontId="12" fillId="61" borderId="52" xfId="0" applyNumberFormat="1" applyFont="1" applyFill="1" applyBorder="1" applyAlignment="1">
      <alignment horizontal="right" vertical="center" wrapText="1"/>
    </xf>
    <xf numFmtId="3" fontId="12" fillId="61" borderId="52" xfId="0" applyNumberFormat="1" applyFont="1" applyFill="1" applyBorder="1" applyAlignment="1">
      <alignment horizontal="right" vertical="center"/>
    </xf>
    <xf numFmtId="176" fontId="12" fillId="61" borderId="53" xfId="1" applyNumberFormat="1" applyFont="1" applyFill="1" applyBorder="1" applyAlignment="1">
      <alignment horizontal="right" vertical="center"/>
    </xf>
    <xf numFmtId="181" fontId="259" fillId="61" borderId="52" xfId="1742" applyNumberFormat="1" applyFont="1" applyFill="1" applyBorder="1" applyAlignment="1">
      <alignment vertical="center"/>
    </xf>
    <xf numFmtId="1" fontId="12" fillId="61" borderId="52" xfId="80" applyNumberFormat="1" applyFont="1" applyFill="1" applyBorder="1" applyAlignment="1">
      <alignment horizontal="center" vertical="center"/>
    </xf>
    <xf numFmtId="176" fontId="12" fillId="61" borderId="52" xfId="1" applyNumberFormat="1" applyFont="1" applyFill="1" applyBorder="1" applyAlignment="1">
      <alignment horizontal="center" vertical="center" wrapText="1"/>
    </xf>
    <xf numFmtId="0" fontId="12" fillId="61" borderId="53" xfId="0" applyFont="1" applyFill="1" applyBorder="1" applyAlignment="1">
      <alignment horizontal="center" vertical="center" wrapText="1"/>
    </xf>
    <xf numFmtId="0" fontId="12" fillId="0" borderId="52" xfId="0" applyFont="1" applyFill="1" applyBorder="1" applyAlignment="1">
      <alignment horizontal="left" vertical="center" wrapText="1"/>
    </xf>
    <xf numFmtId="1" fontId="12" fillId="0" borderId="52" xfId="80" applyNumberFormat="1" applyFont="1" applyFill="1" applyBorder="1" applyAlignment="1">
      <alignment horizontal="center" vertical="center" wrapText="1"/>
    </xf>
    <xf numFmtId="1" fontId="12" fillId="0" borderId="52" xfId="7" quotePrefix="1" applyNumberFormat="1" applyFont="1" applyFill="1" applyBorder="1" applyAlignment="1">
      <alignment horizontal="center" vertical="center" wrapText="1"/>
    </xf>
    <xf numFmtId="3" fontId="12" fillId="0" borderId="52" xfId="0" applyNumberFormat="1" applyFont="1" applyFill="1" applyBorder="1" applyAlignment="1">
      <alignment horizontal="right" vertical="center" wrapText="1"/>
    </xf>
    <xf numFmtId="3" fontId="12" fillId="0" borderId="52" xfId="0" applyNumberFormat="1" applyFont="1" applyFill="1" applyBorder="1" applyAlignment="1">
      <alignment horizontal="right" vertical="center"/>
    </xf>
    <xf numFmtId="181" fontId="259" fillId="0" borderId="52" xfId="1742" applyNumberFormat="1" applyFont="1" applyFill="1" applyBorder="1" applyAlignment="1">
      <alignment vertical="center"/>
    </xf>
    <xf numFmtId="1" fontId="12" fillId="0" borderId="52" xfId="80" applyNumberFormat="1" applyFont="1" applyFill="1" applyBorder="1" applyAlignment="1">
      <alignment horizontal="center" vertical="center"/>
    </xf>
    <xf numFmtId="176" fontId="12" fillId="0" borderId="52" xfId="1" applyNumberFormat="1" applyFont="1" applyFill="1" applyBorder="1" applyAlignment="1">
      <alignment horizontal="center" vertical="center" wrapText="1"/>
    </xf>
    <xf numFmtId="0" fontId="12" fillId="0" borderId="52" xfId="49" applyFont="1" applyFill="1" applyBorder="1" applyAlignment="1">
      <alignment horizontal="center" vertical="center" wrapText="1"/>
    </xf>
    <xf numFmtId="0" fontId="12" fillId="3" borderId="52" xfId="0" applyFont="1" applyFill="1" applyBorder="1" applyAlignment="1">
      <alignment horizontal="left" vertical="center" wrapText="1"/>
    </xf>
    <xf numFmtId="0" fontId="259" fillId="3" borderId="52" xfId="49" applyFont="1" applyFill="1" applyBorder="1" applyAlignment="1">
      <alignment horizontal="center" vertical="center" wrapText="1"/>
    </xf>
    <xf numFmtId="1" fontId="12" fillId="3" borderId="52" xfId="80" applyNumberFormat="1" applyFont="1" applyFill="1" applyBorder="1" applyAlignment="1">
      <alignment horizontal="center" vertical="center" wrapText="1"/>
    </xf>
    <xf numFmtId="1" fontId="12" fillId="3" borderId="52" xfId="7" quotePrefix="1" applyNumberFormat="1" applyFont="1" applyFill="1" applyBorder="1" applyAlignment="1">
      <alignment horizontal="center" vertical="center" wrapText="1"/>
    </xf>
    <xf numFmtId="3" fontId="12" fillId="3" borderId="52" xfId="0" applyNumberFormat="1" applyFont="1" applyFill="1" applyBorder="1" applyAlignment="1">
      <alignment horizontal="right" vertical="center" wrapText="1"/>
    </xf>
    <xf numFmtId="3" fontId="12" fillId="3" borderId="52" xfId="0" applyNumberFormat="1" applyFont="1" applyFill="1" applyBorder="1" applyAlignment="1">
      <alignment horizontal="right" vertical="center"/>
    </xf>
    <xf numFmtId="0" fontId="12" fillId="3" borderId="52" xfId="0" applyFont="1" applyFill="1" applyBorder="1" applyAlignment="1">
      <alignment horizontal="center" vertical="center" wrapText="1"/>
    </xf>
    <xf numFmtId="176" fontId="12" fillId="3" borderId="52" xfId="1" applyNumberFormat="1" applyFont="1" applyFill="1" applyBorder="1" applyAlignment="1">
      <alignment horizontal="center" vertical="center" wrapText="1"/>
    </xf>
    <xf numFmtId="0" fontId="12" fillId="55" borderId="52" xfId="0" applyFont="1" applyFill="1" applyBorder="1" applyAlignment="1">
      <alignment horizontal="center" vertical="center" wrapText="1"/>
    </xf>
    <xf numFmtId="3" fontId="266" fillId="2" borderId="53" xfId="0" applyNumberFormat="1" applyFont="1" applyFill="1" applyBorder="1" applyAlignment="1">
      <alignment horizontal="center" vertical="center" wrapText="1"/>
    </xf>
    <xf numFmtId="0" fontId="12" fillId="2" borderId="4" xfId="0" applyFont="1" applyFill="1" applyBorder="1" applyAlignment="1">
      <alignment horizontal="center" vertical="center" wrapText="1"/>
    </xf>
    <xf numFmtId="176" fontId="12" fillId="57" borderId="53" xfId="49" applyNumberFormat="1" applyFont="1" applyFill="1" applyBorder="1" applyAlignment="1">
      <alignment horizontal="right" vertical="center" wrapText="1"/>
    </xf>
    <xf numFmtId="181" fontId="259" fillId="2" borderId="53" xfId="1742" applyNumberFormat="1" applyFont="1" applyFill="1" applyBorder="1" applyAlignment="1">
      <alignment horizontal="center" vertical="center" wrapText="1"/>
    </xf>
    <xf numFmtId="0" fontId="12" fillId="57" borderId="53" xfId="49" applyFont="1" applyFill="1" applyBorder="1" applyAlignment="1">
      <alignment vertical="center" wrapText="1"/>
    </xf>
    <xf numFmtId="181" fontId="12" fillId="2" borderId="53" xfId="1742" applyNumberFormat="1" applyFont="1" applyFill="1" applyBorder="1" applyAlignment="1">
      <alignment horizontal="center" vertical="center" wrapText="1"/>
    </xf>
    <xf numFmtId="176" fontId="267" fillId="2" borderId="53" xfId="1" applyNumberFormat="1" applyFont="1" applyFill="1" applyBorder="1" applyAlignment="1">
      <alignment horizontal="center" vertical="center"/>
    </xf>
    <xf numFmtId="0" fontId="241" fillId="0" borderId="53" xfId="49" applyFont="1" applyFill="1" applyBorder="1" applyAlignment="1">
      <alignment vertical="center" wrapText="1"/>
    </xf>
    <xf numFmtId="167" fontId="241" fillId="2" borderId="53" xfId="39" applyNumberFormat="1" applyFont="1" applyFill="1" applyBorder="1" applyAlignment="1">
      <alignment horizontal="center" vertical="center" wrapText="1"/>
    </xf>
    <xf numFmtId="176" fontId="267" fillId="0" borderId="53" xfId="1" applyNumberFormat="1" applyFont="1" applyFill="1" applyBorder="1" applyAlignment="1">
      <alignment horizontal="center" vertical="center"/>
    </xf>
    <xf numFmtId="3" fontId="266" fillId="0" borderId="53" xfId="0" applyNumberFormat="1" applyFont="1" applyFill="1" applyBorder="1" applyAlignment="1">
      <alignment horizontal="center" vertical="center" wrapText="1"/>
    </xf>
    <xf numFmtId="0" fontId="266" fillId="0" borderId="0" xfId="0" applyFont="1" applyAlignment="1">
      <alignment horizontal="center" vertical="center"/>
    </xf>
    <xf numFmtId="181" fontId="266" fillId="0" borderId="0" xfId="0" applyNumberFormat="1" applyFont="1"/>
    <xf numFmtId="176" fontId="266" fillId="0" borderId="0" xfId="0" applyNumberFormat="1" applyFont="1"/>
    <xf numFmtId="0" fontId="248" fillId="2" borderId="1" xfId="2" applyNumberFormat="1" applyFont="1" applyFill="1" applyBorder="1" applyAlignment="1">
      <alignment horizontal="center" vertical="center" wrapText="1"/>
    </xf>
    <xf numFmtId="181" fontId="240" fillId="3" borderId="1" xfId="0" applyNumberFormat="1" applyFont="1" applyFill="1" applyBorder="1" applyAlignment="1">
      <alignment horizontal="left"/>
    </xf>
    <xf numFmtId="176" fontId="12" fillId="2" borderId="1" xfId="0" quotePrefix="1" applyNumberFormat="1" applyFont="1" applyFill="1" applyBorder="1" applyAlignment="1">
      <alignment horizontal="left" vertical="center" wrapText="1"/>
    </xf>
    <xf numFmtId="0" fontId="266" fillId="0" borderId="0" xfId="0" applyFont="1" applyFill="1"/>
    <xf numFmtId="0" fontId="266" fillId="0" borderId="53" xfId="0" applyFont="1" applyFill="1" applyBorder="1" applyAlignment="1">
      <alignment horizontal="left" vertical="center"/>
    </xf>
    <xf numFmtId="0" fontId="266" fillId="0" borderId="53" xfId="0" applyFont="1" applyFill="1" applyBorder="1"/>
    <xf numFmtId="176" fontId="240" fillId="3" borderId="1" xfId="0" quotePrefix="1" applyNumberFormat="1" applyFont="1" applyFill="1" applyBorder="1" applyAlignment="1">
      <alignment horizontal="left" vertical="center" wrapText="1"/>
    </xf>
    <xf numFmtId="176" fontId="12" fillId="3" borderId="1" xfId="0" quotePrefix="1" applyNumberFormat="1" applyFont="1" applyFill="1" applyBorder="1" applyAlignment="1">
      <alignment horizontal="left" vertical="center" wrapText="1"/>
    </xf>
    <xf numFmtId="0" fontId="240" fillId="2" borderId="4" xfId="2" applyNumberFormat="1" applyFont="1" applyFill="1" applyBorder="1" applyAlignment="1">
      <alignment horizontal="left" vertical="center" wrapText="1"/>
    </xf>
    <xf numFmtId="178" fontId="240" fillId="0" borderId="1" xfId="0" applyNumberFormat="1" applyFont="1" applyFill="1" applyBorder="1" applyAlignment="1">
      <alignment horizontal="left" vertical="center" wrapText="1"/>
    </xf>
    <xf numFmtId="0" fontId="240" fillId="0" borderId="1" xfId="2" applyFont="1" applyFill="1" applyBorder="1" applyAlignment="1">
      <alignment horizontal="center" vertical="center" wrapText="1"/>
    </xf>
    <xf numFmtId="176" fontId="240" fillId="0" borderId="1" xfId="2" applyNumberFormat="1" applyFont="1" applyFill="1" applyBorder="1" applyAlignment="1">
      <alignment horizontal="center" vertical="center" wrapText="1"/>
    </xf>
    <xf numFmtId="177" fontId="240" fillId="0" borderId="1" xfId="0" applyNumberFormat="1" applyFont="1" applyFill="1" applyBorder="1" applyAlignment="1">
      <alignment horizontal="center" vertical="center" wrapText="1"/>
    </xf>
    <xf numFmtId="178" fontId="240" fillId="0" borderId="1" xfId="0" applyNumberFormat="1" applyFont="1" applyFill="1" applyBorder="1" applyAlignment="1">
      <alignment horizontal="center" vertical="center" wrapText="1"/>
    </xf>
    <xf numFmtId="178" fontId="12" fillId="0" borderId="1" xfId="0" quotePrefix="1" applyNumberFormat="1" applyFont="1" applyFill="1" applyBorder="1" applyAlignment="1">
      <alignment horizontal="left" vertical="center" wrapText="1"/>
    </xf>
    <xf numFmtId="176" fontId="12" fillId="0" borderId="1" xfId="1" quotePrefix="1" applyNumberFormat="1" applyFont="1" applyFill="1" applyBorder="1" applyAlignment="1">
      <alignment horizontal="center" vertical="center" wrapText="1"/>
    </xf>
    <xf numFmtId="178" fontId="12" fillId="0" borderId="1" xfId="0" applyNumberFormat="1" applyFont="1" applyFill="1" applyBorder="1" applyAlignment="1">
      <alignment horizontal="left" vertical="center" wrapText="1"/>
    </xf>
    <xf numFmtId="9" fontId="266" fillId="0" borderId="0" xfId="81" applyFont="1"/>
    <xf numFmtId="9" fontId="12" fillId="0" borderId="0" xfId="81" applyFont="1" applyFill="1"/>
    <xf numFmtId="181" fontId="241" fillId="0" borderId="1" xfId="1" applyNumberFormat="1" applyFont="1" applyFill="1" applyBorder="1" applyAlignment="1">
      <alignment horizontal="center" vertical="center" wrapText="1"/>
    </xf>
    <xf numFmtId="0" fontId="240" fillId="0" borderId="0" xfId="0" applyNumberFormat="1" applyFont="1" applyFill="1" applyAlignment="1">
      <alignment horizontal="center" vertical="center" wrapText="1"/>
    </xf>
    <xf numFmtId="1" fontId="252" fillId="0" borderId="0" xfId="7" applyNumberFormat="1" applyFont="1" applyFill="1" applyAlignment="1">
      <alignment vertical="center"/>
    </xf>
    <xf numFmtId="49" fontId="12" fillId="0" borderId="1" xfId="1" applyNumberFormat="1" applyFont="1" applyFill="1" applyBorder="1" applyAlignment="1">
      <alignment horizontal="center" vertical="center" wrapText="1"/>
    </xf>
    <xf numFmtId="49" fontId="12" fillId="0" borderId="1" xfId="1" quotePrefix="1" applyNumberFormat="1" applyFont="1" applyFill="1" applyBorder="1" applyAlignment="1">
      <alignment horizontal="center" vertical="center" wrapText="1"/>
    </xf>
    <xf numFmtId="185" fontId="12" fillId="2" borderId="1" xfId="0" applyNumberFormat="1" applyFont="1" applyFill="1" applyBorder="1" applyAlignment="1">
      <alignment horizontal="center" vertical="center" wrapText="1"/>
    </xf>
    <xf numFmtId="1" fontId="12" fillId="2" borderId="1" xfId="7" applyNumberFormat="1" applyFont="1" applyFill="1" applyBorder="1" applyAlignment="1">
      <alignment horizontal="left" vertical="center" wrapText="1"/>
    </xf>
    <xf numFmtId="14" fontId="12" fillId="2" borderId="1" xfId="0" applyNumberFormat="1"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2" borderId="1" xfId="2" applyNumberFormat="1" applyFont="1" applyFill="1" applyBorder="1" applyAlignment="1">
      <alignment horizontal="left" vertical="center" wrapText="1"/>
    </xf>
    <xf numFmtId="49" fontId="12" fillId="2" borderId="1" xfId="1" applyNumberFormat="1" applyFont="1" applyFill="1" applyBorder="1" applyAlignment="1">
      <alignment horizontal="center" vertical="center" wrapText="1"/>
    </xf>
    <xf numFmtId="49" fontId="12" fillId="2" borderId="1" xfId="1" quotePrefix="1" applyNumberFormat="1" applyFont="1" applyFill="1" applyBorder="1" applyAlignment="1">
      <alignment horizontal="center" vertical="center" wrapText="1"/>
    </xf>
    <xf numFmtId="178" fontId="12" fillId="2" borderId="1" xfId="0" applyNumberFormat="1" applyFont="1" applyFill="1" applyBorder="1" applyAlignment="1">
      <alignment horizontal="left" vertical="center" wrapText="1"/>
    </xf>
    <xf numFmtId="169" fontId="12" fillId="2" borderId="1" xfId="1" applyFont="1" applyFill="1" applyBorder="1" applyAlignment="1">
      <alignment horizontal="left" vertical="center" wrapText="1"/>
    </xf>
    <xf numFmtId="185" fontId="12" fillId="0" borderId="1" xfId="0" applyNumberFormat="1" applyFont="1" applyFill="1" applyBorder="1" applyAlignment="1">
      <alignment horizontal="center" vertical="center" wrapText="1"/>
    </xf>
    <xf numFmtId="0" fontId="266" fillId="61" borderId="53" xfId="0" applyFont="1" applyFill="1" applyBorder="1" applyAlignment="1">
      <alignment horizontal="left" vertical="center"/>
    </xf>
    <xf numFmtId="0" fontId="12" fillId="0" borderId="1" xfId="0" applyFont="1" applyFill="1" applyBorder="1"/>
    <xf numFmtId="0" fontId="12" fillId="2" borderId="1" xfId="0" applyFont="1" applyFill="1" applyBorder="1" applyAlignment="1">
      <alignment horizontal="left" vertical="center"/>
    </xf>
    <xf numFmtId="0" fontId="12" fillId="2" borderId="1" xfId="0" applyFont="1" applyFill="1" applyBorder="1"/>
    <xf numFmtId="0" fontId="266" fillId="54" borderId="0" xfId="0" applyFont="1" applyFill="1"/>
    <xf numFmtId="0" fontId="12" fillId="55" borderId="1" xfId="0" applyFont="1" applyFill="1" applyBorder="1"/>
    <xf numFmtId="0" fontId="12" fillId="55" borderId="0" xfId="0" applyFont="1" applyFill="1"/>
    <xf numFmtId="4" fontId="12" fillId="55" borderId="1" xfId="0" applyNumberFormat="1" applyFont="1" applyFill="1" applyBorder="1"/>
    <xf numFmtId="0" fontId="266" fillId="2" borderId="0" xfId="0" applyFont="1" applyFill="1" applyBorder="1"/>
    <xf numFmtId="4" fontId="266" fillId="2" borderId="0" xfId="0" applyNumberFormat="1" applyFont="1" applyFill="1" applyBorder="1"/>
    <xf numFmtId="0" fontId="275" fillId="0" borderId="1" xfId="8" applyNumberFormat="1" applyFont="1" applyFill="1" applyBorder="1" applyAlignment="1">
      <alignment horizontal="center" vertical="center" wrapText="1"/>
    </xf>
    <xf numFmtId="1" fontId="240" fillId="2" borderId="0" xfId="7" applyNumberFormat="1" applyFont="1" applyFill="1" applyBorder="1" applyAlignment="1">
      <alignment vertical="center"/>
    </xf>
    <xf numFmtId="1" fontId="240" fillId="2" borderId="53" xfId="7" applyNumberFormat="1" applyFont="1" applyFill="1" applyBorder="1" applyAlignment="1">
      <alignment horizontal="left" vertical="center"/>
    </xf>
    <xf numFmtId="1" fontId="240" fillId="2" borderId="53" xfId="7" applyNumberFormat="1" applyFont="1" applyFill="1" applyBorder="1" applyAlignment="1">
      <alignment vertical="center"/>
    </xf>
    <xf numFmtId="1" fontId="240" fillId="3" borderId="1" xfId="9" applyNumberFormat="1" applyFont="1" applyFill="1" applyBorder="1" applyAlignment="1">
      <alignment horizontal="center" vertical="center" wrapText="1"/>
    </xf>
    <xf numFmtId="49" fontId="240" fillId="3" borderId="1" xfId="5" applyNumberFormat="1" applyFont="1" applyFill="1" applyBorder="1" applyAlignment="1">
      <alignment horizontal="center" vertical="center" wrapText="1"/>
    </xf>
    <xf numFmtId="1" fontId="240" fillId="3" borderId="1" xfId="7" applyNumberFormat="1" applyFont="1" applyFill="1" applyBorder="1" applyAlignment="1">
      <alignment horizontal="center" vertical="center" wrapText="1"/>
    </xf>
    <xf numFmtId="0" fontId="240" fillId="3" borderId="0" xfId="0" applyFont="1" applyFill="1" applyBorder="1"/>
    <xf numFmtId="0" fontId="240" fillId="3" borderId="53" xfId="0" applyFont="1" applyFill="1" applyBorder="1" applyAlignment="1">
      <alignment horizontal="left" vertical="center"/>
    </xf>
    <xf numFmtId="0" fontId="240" fillId="3" borderId="53" xfId="0" applyFont="1" applyFill="1" applyBorder="1"/>
    <xf numFmtId="0" fontId="12" fillId="0" borderId="1" xfId="8" applyNumberFormat="1" applyFont="1" applyFill="1" applyBorder="1" applyAlignment="1">
      <alignment horizontal="left" vertical="center" wrapText="1"/>
    </xf>
    <xf numFmtId="1" fontId="12" fillId="0" borderId="1" xfId="9"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241" fillId="0" borderId="1" xfId="0" applyFont="1" applyFill="1" applyBorder="1"/>
    <xf numFmtId="1" fontId="12" fillId="3" borderId="1" xfId="9"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0" xfId="0" applyFont="1" applyFill="1" applyBorder="1"/>
    <xf numFmtId="0" fontId="12" fillId="3" borderId="53" xfId="0" applyFont="1" applyFill="1" applyBorder="1" applyAlignment="1">
      <alignment horizontal="left" vertical="center"/>
    </xf>
    <xf numFmtId="0" fontId="12" fillId="3" borderId="53" xfId="0" applyFont="1" applyFill="1" applyBorder="1"/>
    <xf numFmtId="1" fontId="12" fillId="3" borderId="1" xfId="11" applyNumberFormat="1" applyFont="1" applyFill="1" applyBorder="1" applyAlignment="1">
      <alignment horizontal="left" vertical="center" wrapText="1"/>
    </xf>
    <xf numFmtId="0" fontId="12" fillId="3" borderId="1" xfId="8" applyNumberFormat="1" applyFont="1" applyFill="1" applyBorder="1" applyAlignment="1">
      <alignment horizontal="center" vertical="center" wrapText="1"/>
    </xf>
    <xf numFmtId="176" fontId="12" fillId="3" borderId="1" xfId="1" applyNumberFormat="1" applyFont="1" applyFill="1" applyBorder="1" applyAlignment="1">
      <alignment horizontal="center" vertical="center" wrapText="1"/>
    </xf>
    <xf numFmtId="181" fontId="12" fillId="3" borderId="1" xfId="1" applyNumberFormat="1" applyFont="1" applyFill="1" applyBorder="1" applyAlignment="1">
      <alignment horizontal="center" vertical="center" wrapText="1"/>
    </xf>
    <xf numFmtId="0" fontId="240" fillId="3" borderId="1" xfId="0" applyFont="1" applyFill="1" applyBorder="1" applyAlignment="1">
      <alignment horizontal="center" vertical="center" wrapText="1"/>
    </xf>
    <xf numFmtId="0" fontId="240" fillId="3" borderId="1" xfId="0" applyFont="1" applyFill="1" applyBorder="1"/>
    <xf numFmtId="1" fontId="12" fillId="3" borderId="1" xfId="10" applyNumberFormat="1" applyFont="1" applyFill="1" applyBorder="1" applyAlignment="1">
      <alignment horizontal="left" vertical="center" wrapText="1"/>
    </xf>
    <xf numFmtId="3" fontId="12" fillId="2" borderId="1" xfId="51" applyNumberFormat="1" applyFont="1" applyFill="1" applyBorder="1" applyAlignment="1">
      <alignment horizontal="center" vertical="center" wrapText="1"/>
    </xf>
    <xf numFmtId="1" fontId="12" fillId="3" borderId="1" xfId="12" applyNumberFormat="1" applyFont="1" applyFill="1" applyBorder="1" applyAlignment="1">
      <alignment horizontal="left" vertical="center" wrapText="1"/>
    </xf>
    <xf numFmtId="1" fontId="12" fillId="2" borderId="1" xfId="12" applyNumberFormat="1" applyFont="1" applyFill="1" applyBorder="1" applyAlignment="1">
      <alignment horizontal="left" vertical="center" wrapText="1"/>
    </xf>
    <xf numFmtId="1" fontId="12" fillId="2" borderId="1" xfId="9" applyNumberFormat="1" applyFont="1" applyFill="1" applyBorder="1" applyAlignment="1">
      <alignment horizontal="center" vertical="center" wrapText="1"/>
    </xf>
    <xf numFmtId="1" fontId="276" fillId="2" borderId="1" xfId="7" applyNumberFormat="1" applyFont="1" applyFill="1" applyBorder="1" applyAlignment="1">
      <alignment horizontal="center" vertical="center" wrapText="1"/>
    </xf>
    <xf numFmtId="0" fontId="12" fillId="2" borderId="0" xfId="0" applyFont="1" applyFill="1" applyBorder="1"/>
    <xf numFmtId="0" fontId="12" fillId="2" borderId="53" xfId="0" applyFont="1" applyFill="1" applyBorder="1" applyAlignment="1">
      <alignment horizontal="left" vertical="center"/>
    </xf>
    <xf numFmtId="0" fontId="12" fillId="2" borderId="53" xfId="0" applyFont="1" applyFill="1" applyBorder="1"/>
    <xf numFmtId="0" fontId="12" fillId="3" borderId="1" xfId="13" applyNumberFormat="1" applyFont="1" applyFill="1" applyBorder="1" applyAlignment="1">
      <alignment horizontal="left" vertical="center" wrapText="1"/>
    </xf>
    <xf numFmtId="0" fontId="12" fillId="0" borderId="1" xfId="57" applyFont="1" applyFill="1" applyBorder="1" applyAlignment="1">
      <alignment horizontal="center" vertical="center" wrapText="1"/>
    </xf>
    <xf numFmtId="0" fontId="259" fillId="59" borderId="53" xfId="0" applyFont="1" applyFill="1" applyBorder="1" applyAlignment="1">
      <alignment horizontal="center" vertical="center" wrapText="1"/>
    </xf>
    <xf numFmtId="0" fontId="266" fillId="61" borderId="0" xfId="0" applyFont="1" applyFill="1"/>
    <xf numFmtId="0" fontId="266" fillId="61" borderId="53" xfId="0" applyFont="1" applyFill="1" applyBorder="1"/>
    <xf numFmtId="0" fontId="266" fillId="61" borderId="1" xfId="0" applyFont="1" applyFill="1" applyBorder="1"/>
    <xf numFmtId="4" fontId="266" fillId="61" borderId="1" xfId="0" applyNumberFormat="1" applyFont="1" applyFill="1" applyBorder="1"/>
    <xf numFmtId="0" fontId="12" fillId="0" borderId="53" xfId="5" applyNumberFormat="1" applyFont="1" applyFill="1" applyBorder="1" applyAlignment="1">
      <alignment horizontal="center" vertical="center" wrapText="1"/>
    </xf>
    <xf numFmtId="0" fontId="12" fillId="54" borderId="0" xfId="0" applyFont="1" applyFill="1"/>
    <xf numFmtId="4" fontId="12" fillId="2" borderId="53" xfId="0" applyNumberFormat="1" applyFont="1" applyFill="1" applyBorder="1"/>
    <xf numFmtId="4" fontId="12" fillId="0" borderId="53" xfId="0" applyNumberFormat="1" applyFont="1" applyFill="1" applyBorder="1"/>
    <xf numFmtId="181" fontId="12" fillId="52" borderId="1" xfId="1" applyNumberFormat="1" applyFont="1" applyFill="1" applyBorder="1" applyAlignment="1">
      <alignment horizontal="center" vertical="center" wrapText="1"/>
    </xf>
    <xf numFmtId="0" fontId="12" fillId="52" borderId="1" xfId="57" applyFont="1" applyFill="1" applyBorder="1" applyAlignment="1">
      <alignment horizontal="center" vertical="center" wrapText="1"/>
    </xf>
    <xf numFmtId="0" fontId="266" fillId="52" borderId="0" xfId="0" applyFont="1" applyFill="1"/>
    <xf numFmtId="0" fontId="266" fillId="52" borderId="53" xfId="0" applyFont="1" applyFill="1" applyBorder="1" applyAlignment="1">
      <alignment horizontal="left" vertical="center"/>
    </xf>
    <xf numFmtId="0" fontId="266" fillId="52" borderId="53" xfId="0" applyFont="1" applyFill="1" applyBorder="1"/>
    <xf numFmtId="183" fontId="240" fillId="2" borderId="1" xfId="2" applyNumberFormat="1" applyFont="1" applyFill="1" applyBorder="1" applyAlignment="1">
      <alignment horizontal="center" vertical="center" wrapText="1"/>
    </xf>
    <xf numFmtId="49" fontId="240" fillId="2" borderId="1" xfId="2" applyNumberFormat="1" applyFont="1" applyFill="1" applyBorder="1" applyAlignment="1">
      <alignment horizontal="center" vertical="center" wrapText="1"/>
    </xf>
    <xf numFmtId="3" fontId="240" fillId="2" borderId="1" xfId="3" applyNumberFormat="1" applyFont="1" applyFill="1" applyBorder="1" applyAlignment="1">
      <alignment horizontal="right" vertical="center"/>
    </xf>
    <xf numFmtId="181" fontId="240" fillId="2" borderId="1" xfId="3" applyNumberFormat="1" applyFont="1" applyFill="1" applyBorder="1" applyAlignment="1">
      <alignment horizontal="right" vertical="center"/>
    </xf>
    <xf numFmtId="176" fontId="12" fillId="2" borderId="1" xfId="3" applyNumberFormat="1" applyFont="1" applyFill="1" applyBorder="1" applyAlignment="1">
      <alignment horizontal="left" vertical="center"/>
    </xf>
    <xf numFmtId="167" fontId="12" fillId="0" borderId="1" xfId="14" applyNumberFormat="1" applyFont="1" applyFill="1" applyBorder="1" applyAlignment="1">
      <alignment horizontal="left" vertical="center" wrapText="1"/>
    </xf>
    <xf numFmtId="167" fontId="12" fillId="0" borderId="1" xfId="14" applyNumberFormat="1" applyFont="1" applyFill="1" applyBorder="1" applyAlignment="1">
      <alignment horizontal="right" vertical="center" wrapText="1"/>
    </xf>
    <xf numFmtId="167" fontId="12" fillId="0" borderId="1" xfId="14" applyNumberFormat="1" applyFont="1" applyFill="1" applyBorder="1" applyAlignment="1">
      <alignment horizontal="center" vertical="center" wrapText="1"/>
    </xf>
    <xf numFmtId="1" fontId="240" fillId="2" borderId="1" xfId="7" applyNumberFormat="1" applyFont="1" applyFill="1" applyBorder="1" applyAlignment="1">
      <alignment horizontal="left" vertical="center" wrapText="1"/>
    </xf>
    <xf numFmtId="176" fontId="12" fillId="2" borderId="1" xfId="0" applyNumberFormat="1" applyFont="1" applyFill="1" applyBorder="1" applyAlignment="1">
      <alignment horizontal="left" vertical="center" wrapText="1"/>
    </xf>
    <xf numFmtId="1" fontId="240" fillId="2" borderId="1" xfId="7" applyNumberFormat="1" applyFont="1" applyFill="1" applyBorder="1" applyAlignment="1">
      <alignment horizontal="center" vertical="center"/>
    </xf>
    <xf numFmtId="176" fontId="240" fillId="2" borderId="1" xfId="3" quotePrefix="1" applyNumberFormat="1" applyFont="1" applyFill="1" applyBorder="1" applyAlignment="1">
      <alignment horizontal="center" vertical="center" wrapText="1"/>
    </xf>
    <xf numFmtId="176" fontId="12" fillId="0" borderId="1" xfId="0" applyNumberFormat="1" applyFont="1" applyFill="1" applyBorder="1" applyAlignment="1">
      <alignment horizontal="left" vertical="center" wrapText="1"/>
    </xf>
    <xf numFmtId="1" fontId="240" fillId="0" borderId="1" xfId="7" applyNumberFormat="1" applyFont="1" applyFill="1" applyBorder="1" applyAlignment="1">
      <alignment horizontal="center" vertical="center"/>
    </xf>
    <xf numFmtId="176" fontId="240" fillId="0" borderId="1" xfId="3" quotePrefix="1" applyNumberFormat="1" applyFont="1" applyFill="1" applyBorder="1" applyAlignment="1">
      <alignment horizontal="center" vertical="center" wrapText="1"/>
    </xf>
    <xf numFmtId="3" fontId="240" fillId="0" borderId="1" xfId="3" applyNumberFormat="1" applyFont="1" applyFill="1" applyBorder="1" applyAlignment="1">
      <alignment horizontal="right" vertical="center"/>
    </xf>
    <xf numFmtId="181" fontId="240" fillId="0" borderId="1" xfId="3" applyNumberFormat="1" applyFont="1" applyFill="1" applyBorder="1" applyAlignment="1">
      <alignment horizontal="right" vertical="center"/>
    </xf>
    <xf numFmtId="0" fontId="12" fillId="0" borderId="1" xfId="35" applyFont="1" applyFill="1" applyBorder="1" applyAlignment="1">
      <alignment horizontal="left" vertical="center" wrapText="1"/>
    </xf>
    <xf numFmtId="0" fontId="12" fillId="0" borderId="1" xfId="0" applyFont="1" applyFill="1" applyBorder="1" applyAlignment="1">
      <alignment horizontal="left"/>
    </xf>
    <xf numFmtId="0" fontId="12" fillId="0" borderId="1" xfId="0" applyFont="1" applyFill="1" applyBorder="1" applyAlignment="1">
      <alignment horizontal="right"/>
    </xf>
    <xf numFmtId="172" fontId="12" fillId="0" borderId="1" xfId="0" applyNumberFormat="1" applyFont="1" applyFill="1" applyBorder="1" applyAlignment="1">
      <alignment horizontal="right" vertical="center" wrapText="1"/>
    </xf>
    <xf numFmtId="167" fontId="12" fillId="0" borderId="1" xfId="17" applyNumberFormat="1" applyFont="1" applyFill="1" applyBorder="1" applyAlignment="1">
      <alignment horizontal="left" vertical="center" wrapText="1"/>
    </xf>
    <xf numFmtId="184" fontId="12" fillId="0" borderId="1" xfId="0" quotePrefix="1" applyNumberFormat="1" applyFont="1" applyFill="1" applyBorder="1" applyAlignment="1">
      <alignment horizontal="center" vertical="center" wrapText="1"/>
    </xf>
    <xf numFmtId="181" fontId="266" fillId="2" borderId="0" xfId="0" applyNumberFormat="1" applyFont="1" applyFill="1"/>
    <xf numFmtId="182" fontId="266" fillId="0" borderId="1" xfId="1" applyNumberFormat="1" applyFont="1" applyFill="1" applyBorder="1" applyAlignment="1">
      <alignment horizontal="center" vertical="center" wrapText="1"/>
    </xf>
    <xf numFmtId="167" fontId="12" fillId="2" borderId="1" xfId="27" applyNumberFormat="1" applyFont="1" applyFill="1" applyBorder="1" applyAlignment="1">
      <alignment horizontal="right" vertical="center" wrapText="1"/>
    </xf>
    <xf numFmtId="0" fontId="240" fillId="0" borderId="0" xfId="4" applyFont="1" applyFill="1" applyAlignment="1">
      <alignment vertical="center"/>
    </xf>
    <xf numFmtId="176" fontId="240" fillId="0" borderId="0" xfId="4" applyNumberFormat="1" applyFont="1" applyFill="1" applyAlignment="1">
      <alignment vertical="center"/>
    </xf>
    <xf numFmtId="0" fontId="240" fillId="0" borderId="53" xfId="4" applyFont="1" applyFill="1" applyBorder="1" applyAlignment="1">
      <alignment horizontal="left" vertical="center"/>
    </xf>
    <xf numFmtId="0" fontId="240" fillId="0" borderId="53" xfId="4" applyFont="1" applyFill="1" applyBorder="1" applyAlignment="1">
      <alignment vertical="center"/>
    </xf>
    <xf numFmtId="0" fontId="12" fillId="2" borderId="1" xfId="4" applyFont="1" applyFill="1" applyBorder="1" applyAlignment="1">
      <alignment horizontal="left" vertical="center" wrapText="1"/>
    </xf>
    <xf numFmtId="0" fontId="240" fillId="2" borderId="0" xfId="4" applyFont="1" applyFill="1" applyAlignment="1">
      <alignment vertical="center"/>
    </xf>
    <xf numFmtId="176" fontId="240" fillId="2" borderId="0" xfId="4" applyNumberFormat="1" applyFont="1" applyFill="1" applyAlignment="1">
      <alignment vertical="center"/>
    </xf>
    <xf numFmtId="0" fontId="240" fillId="2" borderId="53" xfId="4" applyFont="1" applyFill="1" applyBorder="1" applyAlignment="1">
      <alignment horizontal="left" vertical="center"/>
    </xf>
    <xf numFmtId="0" fontId="240" fillId="2" borderId="53" xfId="4" applyFont="1" applyFill="1" applyBorder="1" applyAlignment="1">
      <alignment vertical="center"/>
    </xf>
    <xf numFmtId="0" fontId="240" fillId="2" borderId="0" xfId="2" applyNumberFormat="1" applyFont="1" applyFill="1" applyBorder="1" applyAlignment="1">
      <alignment horizontal="center" vertical="center" wrapText="1"/>
    </xf>
    <xf numFmtId="3" fontId="12" fillId="0" borderId="1" xfId="30" applyNumberFormat="1" applyFont="1" applyFill="1" applyBorder="1" applyAlignment="1">
      <alignment horizontal="left" vertical="center" wrapText="1"/>
    </xf>
    <xf numFmtId="3" fontId="12" fillId="0" borderId="1" xfId="30" applyNumberFormat="1" applyFont="1" applyFill="1" applyBorder="1" applyAlignment="1">
      <alignment horizontal="right" vertical="center" wrapText="1"/>
    </xf>
    <xf numFmtId="0" fontId="12" fillId="0" borderId="1" xfId="32" applyFont="1" applyFill="1" applyBorder="1" applyAlignment="1">
      <alignment horizontal="center" vertical="center" wrapText="1"/>
    </xf>
    <xf numFmtId="3" fontId="12" fillId="0" borderId="1" xfId="4" applyNumberFormat="1" applyFont="1" applyFill="1" applyBorder="1" applyAlignment="1">
      <alignment horizontal="center" vertical="center"/>
    </xf>
    <xf numFmtId="0" fontId="12" fillId="2" borderId="1" xfId="32" applyFont="1" applyFill="1" applyBorder="1" applyAlignment="1">
      <alignment horizontal="center" vertical="center" wrapText="1"/>
    </xf>
    <xf numFmtId="0" fontId="12" fillId="0" borderId="1" xfId="4" applyFont="1" applyFill="1" applyBorder="1" applyAlignment="1">
      <alignment horizontal="left" vertical="center" wrapText="1"/>
    </xf>
    <xf numFmtId="0" fontId="12" fillId="0" borderId="1" xfId="4" applyFont="1" applyFill="1" applyBorder="1" applyAlignment="1">
      <alignment horizontal="right" vertical="center" wrapText="1"/>
    </xf>
    <xf numFmtId="181" fontId="12" fillId="0" borderId="1" xfId="16" applyNumberFormat="1" applyFont="1" applyFill="1" applyBorder="1" applyAlignment="1">
      <alignment horizontal="center" vertical="center" wrapText="1"/>
    </xf>
    <xf numFmtId="179" fontId="12" fillId="0" borderId="1" xfId="31" applyNumberFormat="1" applyFont="1" applyFill="1" applyBorder="1" applyAlignment="1">
      <alignment horizontal="right" vertical="center" wrapText="1"/>
    </xf>
    <xf numFmtId="3" fontId="12" fillId="2" borderId="1" xfId="30" applyNumberFormat="1" applyFont="1" applyFill="1" applyBorder="1" applyAlignment="1">
      <alignment horizontal="left" vertical="center" wrapText="1"/>
    </xf>
    <xf numFmtId="3" fontId="12" fillId="2" borderId="1" xfId="30" applyNumberFormat="1" applyFont="1" applyFill="1" applyBorder="1" applyAlignment="1">
      <alignment horizontal="right" vertical="center" wrapText="1"/>
    </xf>
    <xf numFmtId="3" fontId="12" fillId="2" borderId="1" xfId="4" applyNumberFormat="1" applyFont="1" applyFill="1" applyBorder="1" applyAlignment="1">
      <alignment horizontal="center" vertical="center"/>
    </xf>
    <xf numFmtId="3" fontId="12" fillId="2" borderId="1" xfId="32" applyNumberFormat="1" applyFont="1" applyFill="1" applyBorder="1" applyAlignment="1">
      <alignment horizontal="left" vertical="center" wrapText="1"/>
    </xf>
    <xf numFmtId="3" fontId="12" fillId="2" borderId="1" xfId="32" applyNumberFormat="1" applyFont="1" applyFill="1" applyBorder="1" applyAlignment="1">
      <alignment horizontal="right" vertical="center" wrapText="1"/>
    </xf>
    <xf numFmtId="0" fontId="12" fillId="2" borderId="0" xfId="2" applyNumberFormat="1" applyFont="1" applyFill="1" applyBorder="1" applyAlignment="1">
      <alignment horizontal="center" vertical="center" wrapText="1"/>
    </xf>
    <xf numFmtId="3" fontId="12" fillId="2" borderId="1" xfId="7" applyNumberFormat="1" applyFont="1" applyFill="1" applyBorder="1" applyAlignment="1">
      <alignment horizontal="left" vertical="center" wrapText="1"/>
    </xf>
    <xf numFmtId="3" fontId="12" fillId="2" borderId="1" xfId="7" applyNumberFormat="1" applyFont="1" applyFill="1" applyBorder="1" applyAlignment="1">
      <alignment horizontal="right" vertical="center" wrapText="1"/>
    </xf>
    <xf numFmtId="1" fontId="12" fillId="2" borderId="1" xfId="7" applyNumberFormat="1" applyFont="1" applyFill="1" applyBorder="1" applyAlignment="1">
      <alignment horizontal="right" vertical="center"/>
    </xf>
    <xf numFmtId="176" fontId="240" fillId="2" borderId="1" xfId="1" applyNumberFormat="1" applyFont="1" applyFill="1" applyBorder="1" applyAlignment="1">
      <alignment vertical="center"/>
    </xf>
    <xf numFmtId="0" fontId="266" fillId="3" borderId="1" xfId="2" applyFont="1" applyFill="1" applyBorder="1" applyAlignment="1">
      <alignment horizontal="left" vertical="center" wrapText="1"/>
    </xf>
    <xf numFmtId="181" fontId="240" fillId="2" borderId="1" xfId="1" applyNumberFormat="1" applyFont="1" applyFill="1" applyBorder="1" applyAlignment="1">
      <alignment vertical="center"/>
    </xf>
    <xf numFmtId="176" fontId="241" fillId="2" borderId="1" xfId="1" applyNumberFormat="1" applyFont="1" applyFill="1" applyBorder="1" applyAlignment="1">
      <alignment horizontal="center" vertical="center" wrapText="1"/>
    </xf>
    <xf numFmtId="176" fontId="12" fillId="0" borderId="1" xfId="0" quotePrefix="1" applyNumberFormat="1" applyFont="1" applyFill="1" applyBorder="1" applyAlignment="1">
      <alignment horizontal="left" vertical="center" wrapText="1"/>
    </xf>
    <xf numFmtId="3" fontId="12" fillId="0" borderId="1" xfId="7" applyNumberFormat="1" applyFont="1" applyFill="1" applyBorder="1" applyAlignment="1">
      <alignment horizontal="left" vertical="center"/>
    </xf>
    <xf numFmtId="181" fontId="12" fillId="3" borderId="1" xfId="1" applyNumberFormat="1" applyFont="1" applyFill="1" applyBorder="1"/>
    <xf numFmtId="0" fontId="12" fillId="3" borderId="1" xfId="5" quotePrefix="1" applyNumberFormat="1" applyFont="1" applyFill="1" applyBorder="1" applyAlignment="1">
      <alignment horizontal="center" vertical="center"/>
    </xf>
    <xf numFmtId="176" fontId="240" fillId="2" borderId="1" xfId="2" applyNumberFormat="1" applyFont="1" applyFill="1" applyBorder="1" applyAlignment="1">
      <alignment horizontal="center" vertical="center" wrapText="1"/>
    </xf>
    <xf numFmtId="176" fontId="12" fillId="0" borderId="1" xfId="2" quotePrefix="1" applyNumberFormat="1" applyFont="1" applyFill="1" applyBorder="1" applyAlignment="1">
      <alignment horizontal="left" vertical="center" wrapText="1"/>
    </xf>
    <xf numFmtId="169" fontId="12" fillId="0" borderId="1" xfId="2" quotePrefix="1" applyNumberFormat="1" applyFont="1" applyFill="1" applyBorder="1" applyAlignment="1">
      <alignment horizontal="left" vertical="center" wrapText="1"/>
    </xf>
    <xf numFmtId="176" fontId="12" fillId="2" borderId="1" xfId="2" quotePrefix="1" applyNumberFormat="1" applyFont="1" applyFill="1" applyBorder="1" applyAlignment="1">
      <alignment horizontal="left" vertical="center" wrapText="1"/>
    </xf>
    <xf numFmtId="0" fontId="12" fillId="0" borderId="1" xfId="40" applyFont="1" applyFill="1" applyBorder="1" applyAlignment="1">
      <alignment horizontal="center" vertical="center" wrapText="1"/>
    </xf>
    <xf numFmtId="3" fontId="12" fillId="0" borderId="1" xfId="16" applyNumberFormat="1" applyFont="1" applyFill="1" applyBorder="1" applyAlignment="1">
      <alignment horizontal="center" vertical="center" wrapText="1"/>
    </xf>
    <xf numFmtId="186" fontId="266" fillId="0" borderId="0" xfId="0" applyNumberFormat="1" applyFont="1" applyFill="1"/>
    <xf numFmtId="0" fontId="12" fillId="3" borderId="1" xfId="2" applyFont="1" applyFill="1" applyBorder="1" applyAlignment="1">
      <alignment horizontal="center" vertical="center" wrapText="1"/>
    </xf>
    <xf numFmtId="186" fontId="266" fillId="0" borderId="0" xfId="0" applyNumberFormat="1" applyFont="1"/>
    <xf numFmtId="186" fontId="266" fillId="2" borderId="0" xfId="0" applyNumberFormat="1" applyFont="1" applyFill="1"/>
    <xf numFmtId="0" fontId="241" fillId="52" borderId="0" xfId="0" applyFont="1" applyFill="1"/>
    <xf numFmtId="2" fontId="266" fillId="0" borderId="0" xfId="0" applyNumberFormat="1" applyFont="1" applyFill="1"/>
    <xf numFmtId="3" fontId="241" fillId="0" borderId="1" xfId="51" applyNumberFormat="1" applyFont="1" applyFill="1" applyBorder="1" applyAlignment="1">
      <alignment horizontal="center" vertical="center" wrapText="1"/>
    </xf>
    <xf numFmtId="0" fontId="241" fillId="0" borderId="1" xfId="40" applyFont="1" applyFill="1" applyBorder="1" applyAlignment="1">
      <alignment horizontal="center" vertical="center" wrapText="1"/>
    </xf>
    <xf numFmtId="3" fontId="12" fillId="53" borderId="1" xfId="51" applyNumberFormat="1" applyFont="1" applyFill="1" applyBorder="1" applyAlignment="1">
      <alignment horizontal="center" vertical="center" wrapText="1"/>
    </xf>
    <xf numFmtId="0" fontId="266" fillId="53" borderId="0" xfId="0" applyFont="1" applyFill="1"/>
    <xf numFmtId="0" fontId="266" fillId="53" borderId="53" xfId="0" applyFont="1" applyFill="1" applyBorder="1" applyAlignment="1">
      <alignment horizontal="left" vertical="center"/>
    </xf>
    <xf numFmtId="0" fontId="266" fillId="53" borderId="53" xfId="0" applyFont="1" applyFill="1" applyBorder="1"/>
    <xf numFmtId="0" fontId="12" fillId="2" borderId="1" xfId="57" applyFont="1" applyFill="1" applyBorder="1" applyAlignment="1">
      <alignment horizontal="center" vertical="center" wrapText="1"/>
    </xf>
    <xf numFmtId="3" fontId="240" fillId="0" borderId="1" xfId="51" applyNumberFormat="1" applyFont="1" applyFill="1" applyBorder="1" applyAlignment="1">
      <alignment horizontal="center" vertical="center" wrapText="1"/>
    </xf>
    <xf numFmtId="0" fontId="266" fillId="2" borderId="1" xfId="0" applyFont="1" applyFill="1" applyBorder="1" applyAlignment="1">
      <alignment horizontal="center" vertical="center" wrapText="1"/>
    </xf>
    <xf numFmtId="181" fontId="266" fillId="2" borderId="1" xfId="0" applyNumberFormat="1" applyFont="1" applyFill="1" applyBorder="1"/>
    <xf numFmtId="0" fontId="12" fillId="0" borderId="0" xfId="0" applyFont="1"/>
    <xf numFmtId="0" fontId="12" fillId="0" borderId="53" xfId="0" applyFont="1" applyBorder="1" applyAlignment="1">
      <alignment horizontal="left" vertical="center"/>
    </xf>
    <xf numFmtId="0" fontId="12" fillId="0" borderId="53" xfId="0" applyFont="1" applyBorder="1"/>
    <xf numFmtId="0" fontId="266" fillId="2" borderId="53" xfId="0" applyFont="1" applyFill="1" applyBorder="1" applyAlignment="1">
      <alignment horizontal="center"/>
    </xf>
    <xf numFmtId="0" fontId="266" fillId="58" borderId="0" xfId="0" applyFont="1" applyFill="1"/>
    <xf numFmtId="0" fontId="266" fillId="52" borderId="0" xfId="0" applyFont="1" applyFill="1" applyAlignment="1">
      <alignment wrapText="1"/>
    </xf>
    <xf numFmtId="0" fontId="266" fillId="61" borderId="0" xfId="0" applyFont="1" applyFill="1" applyAlignment="1">
      <alignment wrapText="1"/>
    </xf>
    <xf numFmtId="4" fontId="266" fillId="61" borderId="53" xfId="0" applyNumberFormat="1" applyFont="1" applyFill="1" applyBorder="1"/>
    <xf numFmtId="0" fontId="241" fillId="0" borderId="0" xfId="0" applyFont="1"/>
    <xf numFmtId="0" fontId="241" fillId="0" borderId="53" xfId="0" applyFont="1" applyBorder="1" applyAlignment="1">
      <alignment horizontal="left" vertical="center"/>
    </xf>
    <xf numFmtId="0" fontId="241" fillId="0" borderId="53" xfId="0" applyFont="1" applyBorder="1"/>
    <xf numFmtId="0" fontId="241" fillId="2" borderId="53" xfId="0" applyFont="1" applyFill="1" applyBorder="1" applyAlignment="1">
      <alignment horizontal="center"/>
    </xf>
    <xf numFmtId="0" fontId="241" fillId="2" borderId="53" xfId="0" applyFont="1" applyFill="1" applyBorder="1"/>
    <xf numFmtId="4" fontId="241" fillId="2" borderId="53" xfId="0" applyNumberFormat="1" applyFont="1" applyFill="1" applyBorder="1"/>
    <xf numFmtId="0" fontId="12" fillId="3" borderId="53" xfId="49" applyFont="1" applyFill="1" applyBorder="1" applyAlignment="1">
      <alignment horizontal="left" vertical="center" wrapText="1"/>
    </xf>
    <xf numFmtId="0" fontId="266" fillId="2" borderId="53" xfId="0" applyFont="1" applyFill="1" applyBorder="1" applyAlignment="1">
      <alignment horizontal="center" wrapText="1"/>
    </xf>
    <xf numFmtId="0" fontId="266" fillId="61" borderId="53" xfId="0" applyFont="1" applyFill="1" applyBorder="1" applyAlignment="1">
      <alignment horizontal="center"/>
    </xf>
    <xf numFmtId="4" fontId="266" fillId="0" borderId="53" xfId="0" applyNumberFormat="1" applyFont="1" applyFill="1" applyBorder="1"/>
    <xf numFmtId="0" fontId="266" fillId="0" borderId="0" xfId="0" applyFont="1" applyFill="1" applyBorder="1"/>
    <xf numFmtId="4" fontId="266" fillId="0" borderId="0" xfId="0" applyNumberFormat="1" applyFont="1" applyFill="1" applyBorder="1"/>
    <xf numFmtId="0" fontId="266" fillId="2" borderId="53" xfId="0" applyFont="1" applyFill="1" applyBorder="1" applyAlignment="1">
      <alignment horizontal="center" vertical="center"/>
    </xf>
    <xf numFmtId="181" fontId="266" fillId="2" borderId="53" xfId="0" applyNumberFormat="1" applyFont="1" applyFill="1" applyBorder="1"/>
    <xf numFmtId="176" fontId="246" fillId="0" borderId="1" xfId="3"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04" fillId="0" borderId="0" xfId="0" applyFont="1" applyFill="1" applyBorder="1" applyAlignment="1">
      <alignment horizontal="center"/>
    </xf>
    <xf numFmtId="0" fontId="244" fillId="0" borderId="0" xfId="0" applyFont="1" applyFill="1" applyBorder="1" applyAlignment="1">
      <alignment horizontal="center"/>
    </xf>
    <xf numFmtId="0" fontId="246" fillId="0" borderId="1" xfId="2" applyNumberFormat="1" applyFont="1" applyFill="1" applyBorder="1" applyAlignment="1">
      <alignment horizontal="center" vertical="center" wrapText="1"/>
    </xf>
    <xf numFmtId="0" fontId="246" fillId="0" borderId="2" xfId="2" applyNumberFormat="1" applyFont="1" applyFill="1" applyBorder="1" applyAlignment="1">
      <alignment horizontal="center" vertical="center" wrapText="1"/>
    </xf>
    <xf numFmtId="0" fontId="246" fillId="0" borderId="3" xfId="2" applyNumberFormat="1" applyFont="1" applyFill="1" applyBorder="1" applyAlignment="1">
      <alignment horizontal="center" vertical="center" wrapText="1"/>
    </xf>
    <xf numFmtId="0" fontId="246" fillId="0" borderId="4" xfId="2" applyNumberFormat="1" applyFont="1" applyFill="1" applyBorder="1" applyAlignment="1">
      <alignment horizontal="center" vertical="center" wrapText="1"/>
    </xf>
    <xf numFmtId="183" fontId="246" fillId="0" borderId="1" xfId="2" applyNumberFormat="1" applyFont="1" applyFill="1" applyBorder="1" applyAlignment="1">
      <alignment horizontal="center" vertical="center" wrapText="1"/>
    </xf>
    <xf numFmtId="49" fontId="246" fillId="0" borderId="1" xfId="2" applyNumberFormat="1" applyFont="1" applyFill="1" applyBorder="1" applyAlignment="1">
      <alignment horizontal="center" vertical="center" wrapText="1"/>
    </xf>
    <xf numFmtId="176" fontId="246" fillId="0" borderId="11" xfId="1" applyNumberFormat="1" applyFont="1" applyFill="1" applyBorder="1" applyAlignment="1">
      <alignment horizontal="center" vertical="center" wrapText="1"/>
    </xf>
    <xf numFmtId="176" fontId="246" fillId="0" borderId="51" xfId="1" applyNumberFormat="1" applyFont="1" applyFill="1" applyBorder="1" applyAlignment="1">
      <alignment horizontal="center" vertical="center" wrapText="1"/>
    </xf>
    <xf numFmtId="176" fontId="246" fillId="0" borderId="13" xfId="1" applyNumberFormat="1" applyFont="1" applyFill="1" applyBorder="1" applyAlignment="1">
      <alignment horizontal="center" vertical="center" wrapText="1"/>
    </xf>
    <xf numFmtId="176" fontId="247" fillId="0" borderId="1" xfId="3" applyNumberFormat="1" applyFont="1" applyFill="1" applyBorder="1" applyAlignment="1">
      <alignment horizontal="center" vertical="center" wrapText="1"/>
    </xf>
    <xf numFmtId="176" fontId="21" fillId="0" borderId="1" xfId="3" applyNumberFormat="1" applyFont="1" applyFill="1" applyBorder="1" applyAlignment="1">
      <alignment horizontal="center" vertical="center"/>
    </xf>
    <xf numFmtId="0" fontId="266" fillId="0" borderId="53" xfId="0" applyFont="1" applyBorder="1" applyAlignment="1">
      <alignment horizontal="center"/>
    </xf>
    <xf numFmtId="0" fontId="266" fillId="0" borderId="54" xfId="0" applyFont="1" applyBorder="1" applyAlignment="1">
      <alignment horizontal="center"/>
    </xf>
    <xf numFmtId="176" fontId="240" fillId="0" borderId="2" xfId="1" applyNumberFormat="1" applyFont="1" applyFill="1" applyBorder="1" applyAlignment="1">
      <alignment horizontal="center" vertical="center" wrapText="1"/>
    </xf>
    <xf numFmtId="176" fontId="240" fillId="0" borderId="4" xfId="1" applyNumberFormat="1" applyFont="1" applyFill="1" applyBorder="1" applyAlignment="1">
      <alignment horizontal="center" vertical="center" wrapText="1"/>
    </xf>
    <xf numFmtId="0" fontId="240" fillId="0" borderId="2" xfId="2" applyNumberFormat="1" applyFont="1" applyFill="1" applyBorder="1" applyAlignment="1">
      <alignment horizontal="center" vertical="center" wrapText="1"/>
    </xf>
    <xf numFmtId="0" fontId="240" fillId="0" borderId="3" xfId="2" applyNumberFormat="1" applyFont="1" applyFill="1" applyBorder="1" applyAlignment="1">
      <alignment horizontal="center" vertical="center" wrapText="1"/>
    </xf>
    <xf numFmtId="0" fontId="240" fillId="0" borderId="4" xfId="2" applyNumberFormat="1" applyFont="1" applyFill="1" applyBorder="1" applyAlignment="1">
      <alignment horizontal="center" vertical="center" wrapText="1"/>
    </xf>
    <xf numFmtId="181" fontId="240" fillId="3" borderId="2" xfId="1" applyNumberFormat="1" applyFont="1" applyFill="1" applyBorder="1" applyAlignment="1">
      <alignment horizontal="center" vertical="center" wrapText="1"/>
    </xf>
    <xf numFmtId="181" fontId="240" fillId="3" borderId="3" xfId="1" applyNumberFormat="1" applyFont="1" applyFill="1" applyBorder="1" applyAlignment="1">
      <alignment horizontal="center" vertical="center" wrapText="1"/>
    </xf>
    <xf numFmtId="181" fontId="240" fillId="3" borderId="4" xfId="1" applyNumberFormat="1" applyFont="1" applyFill="1" applyBorder="1" applyAlignment="1">
      <alignment horizontal="center" vertical="center" wrapText="1"/>
    </xf>
    <xf numFmtId="176" fontId="240" fillId="3" borderId="1" xfId="3" applyNumberFormat="1" applyFont="1" applyFill="1" applyBorder="1" applyAlignment="1">
      <alignment horizontal="center" vertical="center" wrapText="1"/>
    </xf>
    <xf numFmtId="0" fontId="240" fillId="0" borderId="1" xfId="2" applyNumberFormat="1" applyFont="1" applyFill="1" applyBorder="1" applyAlignment="1">
      <alignment horizontal="center" vertical="center" wrapText="1"/>
    </xf>
    <xf numFmtId="176" fontId="240" fillId="3" borderId="9" xfId="3" applyNumberFormat="1" applyFont="1" applyFill="1" applyBorder="1" applyAlignment="1">
      <alignment horizontal="center" vertical="center" wrapText="1"/>
    </xf>
    <xf numFmtId="176" fontId="240" fillId="3" borderId="11" xfId="3" applyNumberFormat="1" applyFont="1" applyFill="1" applyBorder="1" applyAlignment="1">
      <alignment horizontal="center" vertical="center" wrapText="1"/>
    </xf>
    <xf numFmtId="176" fontId="240" fillId="3" borderId="12" xfId="3" applyNumberFormat="1" applyFont="1" applyFill="1" applyBorder="1" applyAlignment="1">
      <alignment horizontal="center" vertical="center" wrapText="1"/>
    </xf>
    <xf numFmtId="176" fontId="240" fillId="3" borderId="13" xfId="3" applyNumberFormat="1" applyFont="1" applyFill="1" applyBorder="1" applyAlignment="1">
      <alignment horizontal="center" vertical="center" wrapText="1"/>
    </xf>
    <xf numFmtId="0" fontId="240" fillId="3" borderId="1" xfId="2" applyNumberFormat="1" applyFont="1" applyFill="1" applyBorder="1" applyAlignment="1">
      <alignment horizontal="center" vertical="center" wrapText="1"/>
    </xf>
    <xf numFmtId="0" fontId="240" fillId="3" borderId="3" xfId="2" applyNumberFormat="1" applyFont="1" applyFill="1" applyBorder="1" applyAlignment="1">
      <alignment horizontal="center" vertical="center" wrapText="1"/>
    </xf>
    <xf numFmtId="0" fontId="240" fillId="3" borderId="4" xfId="2" applyNumberFormat="1" applyFont="1" applyFill="1" applyBorder="1" applyAlignment="1">
      <alignment horizontal="center" vertical="center" wrapText="1"/>
    </xf>
    <xf numFmtId="0" fontId="240" fillId="3" borderId="2" xfId="2" applyNumberFormat="1" applyFont="1" applyFill="1" applyBorder="1" applyAlignment="1">
      <alignment horizontal="center" vertical="center" wrapText="1"/>
    </xf>
    <xf numFmtId="183" fontId="240" fillId="3" borderId="1" xfId="2" applyNumberFormat="1" applyFont="1" applyFill="1" applyBorder="1" applyAlignment="1">
      <alignment horizontal="center" vertical="center" wrapText="1"/>
    </xf>
    <xf numFmtId="49" fontId="240" fillId="3" borderId="1" xfId="2" applyNumberFormat="1" applyFont="1" applyFill="1" applyBorder="1" applyAlignment="1">
      <alignment horizontal="center" vertical="center" wrapText="1"/>
    </xf>
    <xf numFmtId="0" fontId="240" fillId="3" borderId="5" xfId="2" applyNumberFormat="1" applyFont="1" applyFill="1" applyBorder="1" applyAlignment="1">
      <alignment horizontal="center" vertical="center" wrapText="1"/>
    </xf>
    <xf numFmtId="0" fontId="240" fillId="3" borderId="6" xfId="2" applyNumberFormat="1" applyFont="1" applyFill="1" applyBorder="1" applyAlignment="1">
      <alignment horizontal="center" vertical="center" wrapText="1"/>
    </xf>
    <xf numFmtId="0" fontId="240" fillId="3" borderId="7" xfId="2" applyNumberFormat="1" applyFont="1" applyFill="1" applyBorder="1" applyAlignment="1">
      <alignment horizontal="center" vertical="center" wrapText="1"/>
    </xf>
    <xf numFmtId="176" fontId="12" fillId="0" borderId="52" xfId="2" quotePrefix="1" applyNumberFormat="1" applyFont="1" applyFill="1" applyBorder="1" applyAlignment="1">
      <alignment horizontal="center" vertical="center" wrapText="1"/>
    </xf>
    <xf numFmtId="176" fontId="12" fillId="0" borderId="4" xfId="2" quotePrefix="1" applyNumberFormat="1" applyFont="1" applyFill="1" applyBorder="1" applyAlignment="1">
      <alignment horizontal="center" vertical="center" wrapText="1"/>
    </xf>
    <xf numFmtId="3" fontId="12" fillId="0" borderId="52" xfId="80" applyNumberFormat="1" applyFont="1" applyFill="1" applyBorder="1" applyAlignment="1">
      <alignment horizontal="center" vertical="center" wrapText="1"/>
    </xf>
    <xf numFmtId="3" fontId="12" fillId="0" borderId="3" xfId="80" applyNumberFormat="1" applyFont="1" applyFill="1" applyBorder="1" applyAlignment="1">
      <alignment horizontal="center" vertical="center" wrapText="1"/>
    </xf>
    <xf numFmtId="3" fontId="12" fillId="0" borderId="4" xfId="80" applyNumberFormat="1" applyFont="1" applyFill="1" applyBorder="1" applyAlignment="1">
      <alignment horizontal="center" vertical="center" wrapText="1"/>
    </xf>
    <xf numFmtId="1" fontId="12" fillId="2" borderId="52" xfId="80" applyNumberFormat="1" applyFont="1" applyFill="1" applyBorder="1" applyAlignment="1">
      <alignment horizontal="center" vertical="center" wrapText="1"/>
    </xf>
    <xf numFmtId="1" fontId="12" fillId="2" borderId="3" xfId="80" applyNumberFormat="1" applyFont="1" applyFill="1" applyBorder="1" applyAlignment="1">
      <alignment horizontal="center" vertical="center" wrapText="1"/>
    </xf>
    <xf numFmtId="1" fontId="12" fillId="2" borderId="4" xfId="80" applyNumberFormat="1" applyFont="1" applyFill="1" applyBorder="1" applyAlignment="1">
      <alignment horizontal="center" vertical="center" wrapText="1"/>
    </xf>
    <xf numFmtId="176" fontId="12" fillId="3" borderId="1" xfId="3" applyNumberFormat="1" applyFont="1" applyFill="1" applyBorder="1" applyAlignment="1">
      <alignment horizontal="center" vertical="center"/>
    </xf>
    <xf numFmtId="0" fontId="27" fillId="0" borderId="53" xfId="4302" applyFont="1" applyBorder="1" applyAlignment="1">
      <alignment horizontal="center" vertical="center"/>
    </xf>
    <xf numFmtId="0" fontId="27" fillId="0" borderId="1" xfId="4302" applyFont="1" applyBorder="1" applyAlignment="1">
      <alignment horizontal="center" vertical="center" wrapText="1"/>
    </xf>
    <xf numFmtId="0" fontId="27" fillId="0" borderId="1" xfId="4302" applyFont="1" applyBorder="1" applyAlignment="1">
      <alignment vertical="center" wrapText="1"/>
    </xf>
    <xf numFmtId="176" fontId="19" fillId="0" borderId="2" xfId="1" applyNumberFormat="1" applyFont="1" applyFill="1" applyBorder="1" applyAlignment="1">
      <alignment horizontal="center" vertical="center" wrapText="1"/>
    </xf>
    <xf numFmtId="176" fontId="19" fillId="0" borderId="3" xfId="1" applyNumberFormat="1" applyFont="1" applyFill="1" applyBorder="1" applyAlignment="1">
      <alignment horizontal="center" vertical="center" wrapText="1"/>
    </xf>
    <xf numFmtId="176" fontId="19" fillId="0" borderId="4" xfId="1" applyNumberFormat="1" applyFont="1" applyFill="1" applyBorder="1" applyAlignment="1">
      <alignment horizontal="center" vertical="center" wrapText="1"/>
    </xf>
    <xf numFmtId="176" fontId="19" fillId="0" borderId="1" xfId="3" applyNumberFormat="1" applyFont="1" applyFill="1" applyBorder="1" applyAlignment="1">
      <alignment horizontal="center" vertical="center" wrapText="1"/>
    </xf>
    <xf numFmtId="176" fontId="13" fillId="0" borderId="1" xfId="3" applyNumberFormat="1" applyFont="1" applyFill="1" applyBorder="1" applyAlignment="1">
      <alignment horizontal="center" vertical="center"/>
    </xf>
    <xf numFmtId="176" fontId="19" fillId="0" borderId="2" xfId="3" applyNumberFormat="1" applyFont="1" applyFill="1" applyBorder="1" applyAlignment="1">
      <alignment horizontal="center" vertical="center" wrapText="1"/>
    </xf>
    <xf numFmtId="176" fontId="19" fillId="0" borderId="4" xfId="3" applyNumberFormat="1" applyFont="1" applyFill="1" applyBorder="1" applyAlignment="1">
      <alignment horizontal="center" vertical="center" wrapText="1"/>
    </xf>
    <xf numFmtId="0" fontId="19" fillId="0" borderId="1" xfId="2" applyNumberFormat="1" applyFont="1" applyFill="1" applyBorder="1" applyAlignment="1">
      <alignment horizontal="center" vertical="center" wrapText="1"/>
    </xf>
    <xf numFmtId="0" fontId="19" fillId="0" borderId="6" xfId="2" applyNumberFormat="1" applyFont="1" applyFill="1" applyBorder="1" applyAlignment="1">
      <alignment horizontal="center" vertical="center" wrapText="1"/>
    </xf>
    <xf numFmtId="0" fontId="19" fillId="0" borderId="7" xfId="2" applyNumberFormat="1" applyFont="1" applyFill="1" applyBorder="1" applyAlignment="1">
      <alignment horizontal="center" vertical="center" wrapText="1"/>
    </xf>
    <xf numFmtId="0" fontId="19" fillId="0" borderId="2" xfId="2" applyNumberFormat="1" applyFont="1" applyFill="1" applyBorder="1" applyAlignment="1">
      <alignment horizontal="center" vertical="center" wrapText="1"/>
    </xf>
    <xf numFmtId="0" fontId="19" fillId="0" borderId="3" xfId="2" applyNumberFormat="1" applyFont="1" applyFill="1" applyBorder="1" applyAlignment="1">
      <alignment horizontal="center" vertical="center" wrapText="1"/>
    </xf>
    <xf numFmtId="0" fontId="19" fillId="0" borderId="4" xfId="2" applyNumberFormat="1" applyFont="1" applyFill="1" applyBorder="1" applyAlignment="1">
      <alignment horizontal="center" vertical="center" wrapText="1"/>
    </xf>
    <xf numFmtId="0" fontId="19" fillId="0" borderId="1" xfId="2" applyNumberFormat="1" applyFont="1" applyFill="1" applyBorder="1" applyAlignment="1">
      <alignment horizontal="left" vertical="center" wrapText="1"/>
    </xf>
    <xf numFmtId="183" fontId="19" fillId="0" borderId="1" xfId="2" applyNumberFormat="1" applyFont="1" applyFill="1" applyBorder="1" applyAlignment="1">
      <alignment horizontal="center" vertical="center" wrapText="1"/>
    </xf>
    <xf numFmtId="49" fontId="19" fillId="0" borderId="1" xfId="2" applyNumberFormat="1" applyFont="1" applyFill="1" applyBorder="1" applyAlignment="1">
      <alignment horizontal="center" vertical="center" wrapText="1"/>
    </xf>
    <xf numFmtId="0" fontId="19" fillId="0" borderId="53" xfId="2" applyNumberFormat="1" applyFont="1" applyFill="1" applyBorder="1" applyAlignment="1">
      <alignment horizontal="center" vertical="center" wrapText="1"/>
    </xf>
    <xf numFmtId="0" fontId="19" fillId="0" borderId="53" xfId="2" applyNumberFormat="1" applyFont="1" applyFill="1" applyBorder="1" applyAlignment="1">
      <alignment horizontal="left" vertical="center" wrapText="1"/>
    </xf>
    <xf numFmtId="176" fontId="19" fillId="0" borderId="53" xfId="1" applyNumberFormat="1" applyFont="1" applyFill="1" applyBorder="1" applyAlignment="1">
      <alignment horizontal="center" vertical="center" wrapText="1"/>
    </xf>
    <xf numFmtId="176" fontId="19" fillId="0" borderId="53" xfId="3" applyNumberFormat="1" applyFont="1" applyFill="1" applyBorder="1" applyAlignment="1">
      <alignment horizontal="center" vertical="center" wrapText="1"/>
    </xf>
    <xf numFmtId="183" fontId="19" fillId="0" borderId="53" xfId="2" applyNumberFormat="1" applyFont="1" applyFill="1" applyBorder="1" applyAlignment="1">
      <alignment horizontal="center" vertical="center" wrapText="1"/>
    </xf>
    <xf numFmtId="49" fontId="19" fillId="0" borderId="53" xfId="2" applyNumberFormat="1" applyFont="1" applyFill="1" applyBorder="1" applyAlignment="1">
      <alignment horizontal="center" vertical="center" wrapText="1"/>
    </xf>
    <xf numFmtId="176" fontId="13" fillId="0" borderId="53" xfId="3" applyNumberFormat="1" applyFont="1" applyFill="1" applyBorder="1" applyAlignment="1">
      <alignment horizontal="center" vertical="center"/>
    </xf>
    <xf numFmtId="0" fontId="19" fillId="0" borderId="52" xfId="2" applyNumberFormat="1" applyFont="1" applyFill="1" applyBorder="1" applyAlignment="1">
      <alignment horizontal="center" vertical="center" wrapText="1"/>
    </xf>
    <xf numFmtId="0" fontId="19" fillId="2" borderId="0" xfId="2" applyNumberFormat="1" applyFont="1" applyFill="1" applyBorder="1" applyAlignment="1">
      <alignment horizontal="center" vertical="center" wrapText="1"/>
    </xf>
    <xf numFmtId="0" fontId="13" fillId="0" borderId="52" xfId="2" applyNumberFormat="1" applyFont="1" applyFill="1" applyBorder="1" applyAlignment="1">
      <alignment horizontal="center" vertical="center" wrapText="1"/>
    </xf>
    <xf numFmtId="0" fontId="13" fillId="0" borderId="4" xfId="2" applyNumberFormat="1" applyFont="1" applyFill="1" applyBorder="1" applyAlignment="1">
      <alignment horizontal="center" vertical="center" wrapText="1"/>
    </xf>
    <xf numFmtId="176" fontId="19" fillId="0" borderId="52" xfId="3" applyNumberFormat="1" applyFont="1" applyFill="1" applyBorder="1" applyAlignment="1">
      <alignment horizontal="center" vertical="center" wrapText="1"/>
    </xf>
    <xf numFmtId="176" fontId="19" fillId="0" borderId="3" xfId="3" applyNumberFormat="1" applyFont="1" applyFill="1" applyBorder="1" applyAlignment="1">
      <alignment horizontal="center" vertical="center" wrapText="1"/>
    </xf>
  </cellXfs>
  <cellStyles count="4314">
    <cellStyle name="_x0001_" xfId="84"/>
    <cellStyle name="          _x000a__x000a_shell=progman.exe_x000a__x000a_m" xfId="85"/>
    <cellStyle name="          _x000d__x000a_shell=progman.exe_x000d__x000a_m" xfId="86"/>
    <cellStyle name="          _x005f_x000d__x005f_x000a_shell=progman.exe_x005f_x000d__x005f_x000a_m" xfId="87"/>
    <cellStyle name="_x000a__x000a_JournalTemplate=C:\COMFO\CTALK\JOURSTD.TPL_x000a__x000a_LbStateAddress=3 3 0 251 1 89 2 311_x000a__x000a_LbStateJou" xfId="88"/>
    <cellStyle name="_x000d__x000a_JournalTemplate=C:\COMFO\CTALK\JOURSTD.TPL_x000d__x000a_LbStateAddress=3 3 0 251 1 89 2 311_x000d__x000a_LbStateJou" xfId="89"/>
    <cellStyle name="#,##0" xfId="90"/>
    <cellStyle name="#,##0 2" xfId="91"/>
    <cellStyle name="." xfId="92"/>
    <cellStyle name=". 2" xfId="93"/>
    <cellStyle name=". 3" xfId="94"/>
    <cellStyle name=".d©y" xfId="95"/>
    <cellStyle name="??" xfId="96"/>
    <cellStyle name="?? [0.00]_ Att. 1- Cover" xfId="97"/>
    <cellStyle name="?? [0]" xfId="98"/>
    <cellStyle name="?? [0] 2" xfId="99"/>
    <cellStyle name="?? 2" xfId="100"/>
    <cellStyle name="?? 3" xfId="101"/>
    <cellStyle name="?? 4" xfId="102"/>
    <cellStyle name="?? 5" xfId="103"/>
    <cellStyle name="?? 6" xfId="104"/>
    <cellStyle name="?? 7" xfId="105"/>
    <cellStyle name="?_x001d_??%U©÷u&amp;H©÷9_x0008_? s_x000a__x0007__x0001__x0001_" xfId="106"/>
    <cellStyle name="?_x001d_??%U©÷u&amp;H©÷9_x0008_? s_x000a__x0007__x0001__x0001_ 10" xfId="107"/>
    <cellStyle name="?_x001d_??%U©÷u&amp;H©÷9_x0008_? s_x000a__x0007__x0001__x0001_ 11" xfId="108"/>
    <cellStyle name="?_x001d_??%U©÷u&amp;H©÷9_x0008_? s_x000a__x0007__x0001__x0001_ 12" xfId="109"/>
    <cellStyle name="?_x001d_??%U©÷u&amp;H©÷9_x0008_? s_x000a__x0007__x0001__x0001_ 13" xfId="110"/>
    <cellStyle name="?_x001d_??%U©÷u&amp;H©÷9_x0008_? s_x000a__x0007__x0001__x0001_ 14" xfId="111"/>
    <cellStyle name="?_x001d_??%U©÷u&amp;H©÷9_x0008_? s_x000a__x0007__x0001__x0001_ 15" xfId="112"/>
    <cellStyle name="?_x001d_??%U©÷u&amp;H©÷9_x0008_? s_x000a__x0007__x0001__x0001_ 2" xfId="113"/>
    <cellStyle name="?_x001d_??%U©÷u&amp;H©÷9_x0008_? s_x000a__x0007__x0001__x0001_ 3" xfId="114"/>
    <cellStyle name="?_x001d_??%U©÷u&amp;H©÷9_x0008_? s_x000a__x0007__x0001__x0001_ 4" xfId="115"/>
    <cellStyle name="?_x001d_??%U©÷u&amp;H©÷9_x0008_? s_x000a__x0007__x0001__x0001_ 5" xfId="116"/>
    <cellStyle name="?_x001d_??%U©÷u&amp;H©÷9_x0008_? s_x000a__x0007__x0001__x0001_ 6" xfId="117"/>
    <cellStyle name="?_x001d_??%U©÷u&amp;H©÷9_x0008_? s_x000a__x0007__x0001__x0001_ 7" xfId="118"/>
    <cellStyle name="?_x001d_??%U©÷u&amp;H©÷9_x0008_? s_x000a__x0007__x0001__x0001_ 8" xfId="119"/>
    <cellStyle name="?_x001d_??%U©÷u&amp;H©÷9_x0008_? s_x000a__x0007__x0001__x0001_ 9" xfId="120"/>
    <cellStyle name="???? [0.00]_      " xfId="121"/>
    <cellStyle name="??????" xfId="122"/>
    <cellStyle name="????_      " xfId="123"/>
    <cellStyle name="???[0]_?? DI" xfId="124"/>
    <cellStyle name="???_?? DI" xfId="125"/>
    <cellStyle name="??[0]_BRE" xfId="126"/>
    <cellStyle name="??_      " xfId="127"/>
    <cellStyle name="??A? [0]_laroux_1_¢¬???¢â? " xfId="128"/>
    <cellStyle name="??A?_laroux_1_¢¬???¢â? " xfId="129"/>
    <cellStyle name="?_x005f_x001d_??%U©÷u&amp;H©÷9_x005f_x0008_? s_x005f_x000a__x005f_x0007__x005f_x0001__x005f_x0001_" xfId="130"/>
    <cellStyle name="?_x005f_x001d_??%U©÷u&amp;H©÷9_x005f_x0008_?_x005f_x0009_s_x005f_x000a__x005f_x0007__x005f_x0001__x005f_x0001_" xfId="131"/>
    <cellStyle name="?_x005f_x005f_x005f_x001d_??%U©÷u&amp;H©÷9_x005f_x005f_x005f_x0008_? s_x005f_x005f_x005f_x000a__x005f_x005f_x005f_x0007__x005f_x005f_x005f_x0001__x005f_x005f_x005f_x0001_" xfId="132"/>
    <cellStyle name="?¡±¢¥?_?¨ù??¢´¢¥_¢¬???¢â? " xfId="133"/>
    <cellStyle name="?ðÇ%U?&amp;H?_x0008_?s_x000a__x0007__x0001__x0001_" xfId="134"/>
    <cellStyle name="?ðÇ%U?&amp;H?_x0008_?s_x000a__x0007__x0001__x0001_ 10" xfId="135"/>
    <cellStyle name="?ðÇ%U?&amp;H?_x0008_?s_x000a__x0007__x0001__x0001_ 11" xfId="136"/>
    <cellStyle name="?ðÇ%U?&amp;H?_x0008_?s_x000a__x0007__x0001__x0001_ 12" xfId="137"/>
    <cellStyle name="?ðÇ%U?&amp;H?_x0008_?s_x000a__x0007__x0001__x0001_ 13" xfId="138"/>
    <cellStyle name="?ðÇ%U?&amp;H?_x0008_?s_x000a__x0007__x0001__x0001_ 14" xfId="139"/>
    <cellStyle name="?ðÇ%U?&amp;H?_x0008_?s_x000a__x0007__x0001__x0001_ 15" xfId="140"/>
    <cellStyle name="?ðÇ%U?&amp;H?_x0008_?s_x000a__x0007__x0001__x0001_ 2" xfId="141"/>
    <cellStyle name="?ðÇ%U?&amp;H?_x0008_?s_x000a__x0007__x0001__x0001_ 3" xfId="142"/>
    <cellStyle name="?ðÇ%U?&amp;H?_x0008_?s_x000a__x0007__x0001__x0001_ 4" xfId="143"/>
    <cellStyle name="?ðÇ%U?&amp;H?_x0008_?s_x000a__x0007__x0001__x0001_ 5" xfId="144"/>
    <cellStyle name="?ðÇ%U?&amp;H?_x0008_?s_x000a__x0007__x0001__x0001_ 6" xfId="145"/>
    <cellStyle name="?ðÇ%U?&amp;H?_x0008_?s_x000a__x0007__x0001__x0001_ 7" xfId="146"/>
    <cellStyle name="?ðÇ%U?&amp;H?_x0008_?s_x000a__x0007__x0001__x0001_ 8" xfId="147"/>
    <cellStyle name="?ðÇ%U?&amp;H?_x0008_?s_x000a__x0007__x0001__x0001_ 9" xfId="148"/>
    <cellStyle name="?ðÇ%U?&amp;H?_x005f_x0008_?s_x005f_x000a__x005f_x0007__x005f_x0001__x005f_x0001_" xfId="149"/>
    <cellStyle name="@ET_Style?.font5" xfId="150"/>
    <cellStyle name="[0]_Chi phÝ kh¸c_V" xfId="151"/>
    <cellStyle name="_!1 1 bao cao giao KH ve HTCMT vung TNB   12-12-2011" xfId="152"/>
    <cellStyle name="_x0001__!1 1 bao cao giao KH ve HTCMT vung TNB   12-12-2011" xfId="153"/>
    <cellStyle name="_1 TONG HOP - CA NA" xfId="154"/>
    <cellStyle name="_123_DONG_THANH_Moi" xfId="155"/>
    <cellStyle name="_123_DONG_THANH_Moi_!1 1 bao cao giao KH ve HTCMT vung TNB   12-12-2011" xfId="156"/>
    <cellStyle name="_123_DONG_THANH_Moi_KH TPCP vung TNB (03-1-2012)" xfId="157"/>
    <cellStyle name="_Bang Chi tieu (2)" xfId="158"/>
    <cellStyle name="_BAO GIA NGAY 24-10-08 (co dam)" xfId="159"/>
    <cellStyle name="_BC  NAM 2007" xfId="160"/>
    <cellStyle name="_BC CV 6403 BKHĐT" xfId="161"/>
    <cellStyle name="_BC thuc hien KH 2009" xfId="162"/>
    <cellStyle name="_BC thuc hien KH 2009_15_10_2013 BC nhu cau von doi ung ODA (2014-2016) ngay 15102013 Sua" xfId="163"/>
    <cellStyle name="_BC thuc hien KH 2009_BC nhu cau von doi ung ODA nganh NN (BKH)" xfId="164"/>
    <cellStyle name="_BC thuc hien KH 2009_BC nhu cau von doi ung ODA nganh NN (BKH)_05-12  KH trung han 2016-2020 - Liem Thinh edited" xfId="165"/>
    <cellStyle name="_BC thuc hien KH 2009_BC nhu cau von doi ung ODA nganh NN (BKH)_Copy of 05-12  KH trung han 2016-2020 - Liem Thinh edited (1)" xfId="166"/>
    <cellStyle name="_BC thuc hien KH 2009_BC Tai co cau (bieu TH)" xfId="167"/>
    <cellStyle name="_BC thuc hien KH 2009_BC Tai co cau (bieu TH)_05-12  KH trung han 2016-2020 - Liem Thinh edited" xfId="168"/>
    <cellStyle name="_BC thuc hien KH 2009_BC Tai co cau (bieu TH)_Copy of 05-12  KH trung han 2016-2020 - Liem Thinh edited (1)" xfId="169"/>
    <cellStyle name="_BC thuc hien KH 2009_DK 2014-2015 final" xfId="170"/>
    <cellStyle name="_BC thuc hien KH 2009_DK 2014-2015 final_05-12  KH trung han 2016-2020 - Liem Thinh edited" xfId="171"/>
    <cellStyle name="_BC thuc hien KH 2009_DK 2014-2015 final_Copy of 05-12  KH trung han 2016-2020 - Liem Thinh edited (1)" xfId="172"/>
    <cellStyle name="_BC thuc hien KH 2009_DK 2014-2015 new" xfId="173"/>
    <cellStyle name="_BC thuc hien KH 2009_DK 2014-2015 new_05-12  KH trung han 2016-2020 - Liem Thinh edited" xfId="174"/>
    <cellStyle name="_BC thuc hien KH 2009_DK 2014-2015 new_Copy of 05-12  KH trung han 2016-2020 - Liem Thinh edited (1)" xfId="175"/>
    <cellStyle name="_BC thuc hien KH 2009_DK KH CBDT 2014 11-11-2013" xfId="176"/>
    <cellStyle name="_BC thuc hien KH 2009_DK KH CBDT 2014 11-11-2013(1)" xfId="177"/>
    <cellStyle name="_BC thuc hien KH 2009_DK KH CBDT 2014 11-11-2013(1)_05-12  KH trung han 2016-2020 - Liem Thinh edited" xfId="178"/>
    <cellStyle name="_BC thuc hien KH 2009_DK KH CBDT 2014 11-11-2013(1)_Copy of 05-12  KH trung han 2016-2020 - Liem Thinh edited (1)" xfId="179"/>
    <cellStyle name="_BC thuc hien KH 2009_DK KH CBDT 2014 11-11-2013_05-12  KH trung han 2016-2020 - Liem Thinh edited" xfId="180"/>
    <cellStyle name="_BC thuc hien KH 2009_DK KH CBDT 2014 11-11-2013_Copy of 05-12  KH trung han 2016-2020 - Liem Thinh edited (1)" xfId="181"/>
    <cellStyle name="_BC thuc hien KH 2009_KH 2011-2015" xfId="182"/>
    <cellStyle name="_BC thuc hien KH 2009_tai co cau dau tu (tong hop)1" xfId="183"/>
    <cellStyle name="_BEN TRE" xfId="184"/>
    <cellStyle name="_Bieu mau cong trinh khoi cong moi 3-4" xfId="185"/>
    <cellStyle name="_Bieu Tay Nam Bo 25-11" xfId="186"/>
    <cellStyle name="_Bieu3ODA" xfId="187"/>
    <cellStyle name="_Bieu3ODA_1" xfId="188"/>
    <cellStyle name="_Bieu4HTMT" xfId="189"/>
    <cellStyle name="_Bieu4HTMT_!1 1 bao cao giao KH ve HTCMT vung TNB   12-12-2011" xfId="190"/>
    <cellStyle name="_Bieu4HTMT_KH TPCP vung TNB (03-1-2012)" xfId="191"/>
    <cellStyle name="_Book1" xfId="192"/>
    <cellStyle name="_Book1 2" xfId="193"/>
    <cellStyle name="_Book1_!1 1 bao cao giao KH ve HTCMT vung TNB   12-12-2011" xfId="194"/>
    <cellStyle name="_Book1_1" xfId="195"/>
    <cellStyle name="_Book1_BC-QT-WB-dthao" xfId="196"/>
    <cellStyle name="_Book1_BC-QT-WB-dthao_05-12  KH trung han 2016-2020 - Liem Thinh edited" xfId="197"/>
    <cellStyle name="_Book1_BC-QT-WB-dthao_Copy of 05-12  KH trung han 2016-2020 - Liem Thinh edited (1)" xfId="198"/>
    <cellStyle name="_Book1_BC-QT-WB-dthao_KH TPCP 2016-2020 (tong hop)" xfId="199"/>
    <cellStyle name="_Book1_Bieu3ODA" xfId="200"/>
    <cellStyle name="_Book1_Bieu4HTMT" xfId="201"/>
    <cellStyle name="_Book1_Bieu4HTMT_!1 1 bao cao giao KH ve HTCMT vung TNB   12-12-2011" xfId="202"/>
    <cellStyle name="_Book1_Bieu4HTMT_KH TPCP vung TNB (03-1-2012)" xfId="203"/>
    <cellStyle name="_Book1_bo sung von KCH nam 2010 va Du an tre kho khan" xfId="204"/>
    <cellStyle name="_Book1_bo sung von KCH nam 2010 va Du an tre kho khan_!1 1 bao cao giao KH ve HTCMT vung TNB   12-12-2011" xfId="205"/>
    <cellStyle name="_Book1_bo sung von KCH nam 2010 va Du an tre kho khan_KH TPCP vung TNB (03-1-2012)" xfId="206"/>
    <cellStyle name="_Book1_cong hang rao" xfId="207"/>
    <cellStyle name="_Book1_cong hang rao_!1 1 bao cao giao KH ve HTCMT vung TNB   12-12-2011" xfId="208"/>
    <cellStyle name="_Book1_cong hang rao_KH TPCP vung TNB (03-1-2012)" xfId="209"/>
    <cellStyle name="_Book1_danh muc chuan bi dau tu 2011 ngay 07-6-2011" xfId="210"/>
    <cellStyle name="_Book1_danh muc chuan bi dau tu 2011 ngay 07-6-2011_!1 1 bao cao giao KH ve HTCMT vung TNB   12-12-2011" xfId="211"/>
    <cellStyle name="_Book1_danh muc chuan bi dau tu 2011 ngay 07-6-2011_KH TPCP vung TNB (03-1-2012)" xfId="212"/>
    <cellStyle name="_Book1_Danh muc pbo nguon von XSKT, XDCB nam 2009 chuyen qua nam 2010" xfId="213"/>
    <cellStyle name="_Book1_Danh muc pbo nguon von XSKT, XDCB nam 2009 chuyen qua nam 2010_!1 1 bao cao giao KH ve HTCMT vung TNB   12-12-2011" xfId="214"/>
    <cellStyle name="_Book1_Danh muc pbo nguon von XSKT, XDCB nam 2009 chuyen qua nam 2010_KH TPCP vung TNB (03-1-2012)" xfId="215"/>
    <cellStyle name="_Book1_dieu chinh KH 2011 ngay 26-5-2011111" xfId="216"/>
    <cellStyle name="_Book1_dieu chinh KH 2011 ngay 26-5-2011111_!1 1 bao cao giao KH ve HTCMT vung TNB   12-12-2011" xfId="217"/>
    <cellStyle name="_Book1_dieu chinh KH 2011 ngay 26-5-2011111_KH TPCP vung TNB (03-1-2012)" xfId="218"/>
    <cellStyle name="_Book1_DS KCH PHAN BO VON NSDP NAM 2010" xfId="219"/>
    <cellStyle name="_Book1_DS KCH PHAN BO VON NSDP NAM 2010_!1 1 bao cao giao KH ve HTCMT vung TNB   12-12-2011" xfId="220"/>
    <cellStyle name="_Book1_DS KCH PHAN BO VON NSDP NAM 2010_KH TPCP vung TNB (03-1-2012)" xfId="221"/>
    <cellStyle name="_Book1_giao KH 2011 ngay 10-12-2010" xfId="222"/>
    <cellStyle name="_Book1_giao KH 2011 ngay 10-12-2010_!1 1 bao cao giao KH ve HTCMT vung TNB   12-12-2011" xfId="223"/>
    <cellStyle name="_Book1_giao KH 2011 ngay 10-12-2010_KH TPCP vung TNB (03-1-2012)" xfId="224"/>
    <cellStyle name="_Book1_IN" xfId="225"/>
    <cellStyle name="_Book1_kien giang 2" xfId="229"/>
    <cellStyle name="_Book1_Kh ql62 (2010) 11-09" xfId="226"/>
    <cellStyle name="_Book1_KH TPCP vung TNB (03-1-2012)" xfId="227"/>
    <cellStyle name="_Book1_Khung 2012" xfId="228"/>
    <cellStyle name="_Book1_phu luc tong ket tinh hinh TH giai doan 03-10 (ngay 30)" xfId="230"/>
    <cellStyle name="_Book1_phu luc tong ket tinh hinh TH giai doan 03-10 (ngay 30)_!1 1 bao cao giao KH ve HTCMT vung TNB   12-12-2011" xfId="231"/>
    <cellStyle name="_Book1_phu luc tong ket tinh hinh TH giai doan 03-10 (ngay 30)_KH TPCP vung TNB (03-1-2012)" xfId="232"/>
    <cellStyle name="_C.cong+B.luong-Sanluong" xfId="233"/>
    <cellStyle name="_cong hang rao" xfId="234"/>
    <cellStyle name="_dien chieu sang" xfId="235"/>
    <cellStyle name="_DK KH 2009" xfId="236"/>
    <cellStyle name="_DK KH 2009_15_10_2013 BC nhu cau von doi ung ODA (2014-2016) ngay 15102013 Sua" xfId="237"/>
    <cellStyle name="_DK KH 2009_BC nhu cau von doi ung ODA nganh NN (BKH)" xfId="238"/>
    <cellStyle name="_DK KH 2009_BC nhu cau von doi ung ODA nganh NN (BKH)_05-12  KH trung han 2016-2020 - Liem Thinh edited" xfId="239"/>
    <cellStyle name="_DK KH 2009_BC nhu cau von doi ung ODA nganh NN (BKH)_Copy of 05-12  KH trung han 2016-2020 - Liem Thinh edited (1)" xfId="240"/>
    <cellStyle name="_DK KH 2009_BC Tai co cau (bieu TH)" xfId="241"/>
    <cellStyle name="_DK KH 2009_BC Tai co cau (bieu TH)_05-12  KH trung han 2016-2020 - Liem Thinh edited" xfId="242"/>
    <cellStyle name="_DK KH 2009_BC Tai co cau (bieu TH)_Copy of 05-12  KH trung han 2016-2020 - Liem Thinh edited (1)" xfId="243"/>
    <cellStyle name="_DK KH 2009_DK 2014-2015 final" xfId="244"/>
    <cellStyle name="_DK KH 2009_DK 2014-2015 final_05-12  KH trung han 2016-2020 - Liem Thinh edited" xfId="245"/>
    <cellStyle name="_DK KH 2009_DK 2014-2015 final_Copy of 05-12  KH trung han 2016-2020 - Liem Thinh edited (1)" xfId="246"/>
    <cellStyle name="_DK KH 2009_DK 2014-2015 new" xfId="247"/>
    <cellStyle name="_DK KH 2009_DK 2014-2015 new_05-12  KH trung han 2016-2020 - Liem Thinh edited" xfId="248"/>
    <cellStyle name="_DK KH 2009_DK 2014-2015 new_Copy of 05-12  KH trung han 2016-2020 - Liem Thinh edited (1)" xfId="249"/>
    <cellStyle name="_DK KH 2009_DK KH CBDT 2014 11-11-2013" xfId="250"/>
    <cellStyle name="_DK KH 2009_DK KH CBDT 2014 11-11-2013(1)" xfId="251"/>
    <cellStyle name="_DK KH 2009_DK KH CBDT 2014 11-11-2013(1)_05-12  KH trung han 2016-2020 - Liem Thinh edited" xfId="252"/>
    <cellStyle name="_DK KH 2009_DK KH CBDT 2014 11-11-2013(1)_Copy of 05-12  KH trung han 2016-2020 - Liem Thinh edited (1)" xfId="253"/>
    <cellStyle name="_DK KH 2009_DK KH CBDT 2014 11-11-2013_05-12  KH trung han 2016-2020 - Liem Thinh edited" xfId="254"/>
    <cellStyle name="_DK KH 2009_DK KH CBDT 2014 11-11-2013_Copy of 05-12  KH trung han 2016-2020 - Liem Thinh edited (1)" xfId="255"/>
    <cellStyle name="_DK KH 2009_KH 2011-2015" xfId="256"/>
    <cellStyle name="_DK KH 2009_tai co cau dau tu (tong hop)1" xfId="257"/>
    <cellStyle name="_DK KH 2010" xfId="258"/>
    <cellStyle name="_DK KH 2010 (BKH)" xfId="259"/>
    <cellStyle name="_DK KH 2010_15_10_2013 BC nhu cau von doi ung ODA (2014-2016) ngay 15102013 Sua" xfId="260"/>
    <cellStyle name="_DK KH 2010_BC nhu cau von doi ung ODA nganh NN (BKH)" xfId="261"/>
    <cellStyle name="_DK KH 2010_BC nhu cau von doi ung ODA nganh NN (BKH)_05-12  KH trung han 2016-2020 - Liem Thinh edited" xfId="262"/>
    <cellStyle name="_DK KH 2010_BC nhu cau von doi ung ODA nganh NN (BKH)_Copy of 05-12  KH trung han 2016-2020 - Liem Thinh edited (1)" xfId="263"/>
    <cellStyle name="_DK KH 2010_BC Tai co cau (bieu TH)" xfId="264"/>
    <cellStyle name="_DK KH 2010_BC Tai co cau (bieu TH)_05-12  KH trung han 2016-2020 - Liem Thinh edited" xfId="265"/>
    <cellStyle name="_DK KH 2010_BC Tai co cau (bieu TH)_Copy of 05-12  KH trung han 2016-2020 - Liem Thinh edited (1)" xfId="266"/>
    <cellStyle name="_DK KH 2010_DK 2014-2015 final" xfId="267"/>
    <cellStyle name="_DK KH 2010_DK 2014-2015 final_05-12  KH trung han 2016-2020 - Liem Thinh edited" xfId="268"/>
    <cellStyle name="_DK KH 2010_DK 2014-2015 final_Copy of 05-12  KH trung han 2016-2020 - Liem Thinh edited (1)" xfId="269"/>
    <cellStyle name="_DK KH 2010_DK 2014-2015 new" xfId="270"/>
    <cellStyle name="_DK KH 2010_DK 2014-2015 new_05-12  KH trung han 2016-2020 - Liem Thinh edited" xfId="271"/>
    <cellStyle name="_DK KH 2010_DK 2014-2015 new_Copy of 05-12  KH trung han 2016-2020 - Liem Thinh edited (1)" xfId="272"/>
    <cellStyle name="_DK KH 2010_DK KH CBDT 2014 11-11-2013" xfId="273"/>
    <cellStyle name="_DK KH 2010_DK KH CBDT 2014 11-11-2013(1)" xfId="274"/>
    <cellStyle name="_DK KH 2010_DK KH CBDT 2014 11-11-2013(1)_05-12  KH trung han 2016-2020 - Liem Thinh edited" xfId="275"/>
    <cellStyle name="_DK KH 2010_DK KH CBDT 2014 11-11-2013(1)_Copy of 05-12  KH trung han 2016-2020 - Liem Thinh edited (1)" xfId="276"/>
    <cellStyle name="_DK KH 2010_DK KH CBDT 2014 11-11-2013_05-12  KH trung han 2016-2020 - Liem Thinh edited" xfId="277"/>
    <cellStyle name="_DK KH 2010_DK KH CBDT 2014 11-11-2013_Copy of 05-12  KH trung han 2016-2020 - Liem Thinh edited (1)" xfId="278"/>
    <cellStyle name="_DK KH 2010_KH 2011-2015" xfId="279"/>
    <cellStyle name="_DK KH 2010_tai co cau dau tu (tong hop)1" xfId="280"/>
    <cellStyle name="_DK TPCP 2010" xfId="281"/>
    <cellStyle name="_DO-D1500-KHONG CO TRONG DT" xfId="282"/>
    <cellStyle name="_Dong Thap" xfId="283"/>
    <cellStyle name="_Duyet TK thay đôi" xfId="284"/>
    <cellStyle name="_Duyet TK thay đôi_!1 1 bao cao giao KH ve HTCMT vung TNB   12-12-2011" xfId="285"/>
    <cellStyle name="_Duyet TK thay đôi_Bieu4HTMT" xfId="286"/>
    <cellStyle name="_Duyet TK thay đôi_Bieu4HTMT_!1 1 bao cao giao KH ve HTCMT vung TNB   12-12-2011" xfId="287"/>
    <cellStyle name="_Duyet TK thay đôi_Bieu4HTMT_KH TPCP vung TNB (03-1-2012)" xfId="288"/>
    <cellStyle name="_Duyet TK thay đôi_KH TPCP vung TNB (03-1-2012)" xfId="289"/>
    <cellStyle name="_GOITHAUSO2" xfId="290"/>
    <cellStyle name="_GOITHAUSO3" xfId="291"/>
    <cellStyle name="_GOITHAUSO4" xfId="292"/>
    <cellStyle name="_GTGT 2003" xfId="293"/>
    <cellStyle name="_Gui VU KH 5-5-09" xfId="294"/>
    <cellStyle name="_Gui VU KH 5-5-09_05-12  KH trung han 2016-2020 - Liem Thinh edited" xfId="295"/>
    <cellStyle name="_Gui VU KH 5-5-09_Copy of 05-12  KH trung han 2016-2020 - Liem Thinh edited (1)" xfId="296"/>
    <cellStyle name="_Gui VU KH 5-5-09_KH TPCP 2016-2020 (tong hop)" xfId="297"/>
    <cellStyle name="_HaHoa_TDT_DienCSang" xfId="298"/>
    <cellStyle name="_HaHoa19-5-07" xfId="299"/>
    <cellStyle name="_IN" xfId="300"/>
    <cellStyle name="_IN_!1 1 bao cao giao KH ve HTCMT vung TNB   12-12-2011" xfId="301"/>
    <cellStyle name="_IN_KH TPCP vung TNB (03-1-2012)" xfId="302"/>
    <cellStyle name="_KE KHAI THUE GTGT 2004" xfId="303"/>
    <cellStyle name="_KE KHAI THUE GTGT 2004_BCTC2004" xfId="304"/>
    <cellStyle name="_x0001__kien giang 2" xfId="334"/>
    <cellStyle name="_KT (2)" xfId="335"/>
    <cellStyle name="_KT (2) 2" xfId="336"/>
    <cellStyle name="_KT (2)_05-12  KH trung han 2016-2020 - Liem Thinh edited" xfId="337"/>
    <cellStyle name="_KT (2)_1" xfId="338"/>
    <cellStyle name="_KT (2)_1 2" xfId="339"/>
    <cellStyle name="_KT (2)_1_05-12  KH trung han 2016-2020 - Liem Thinh edited" xfId="340"/>
    <cellStyle name="_KT (2)_1_Copy of 05-12  KH trung han 2016-2020 - Liem Thinh edited (1)" xfId="341"/>
    <cellStyle name="_KT (2)_1_KH TPCP 2016-2020 (tong hop)" xfId="342"/>
    <cellStyle name="_KT (2)_1_Lora-tungchau" xfId="343"/>
    <cellStyle name="_KT (2)_1_Lora-tungchau 2" xfId="344"/>
    <cellStyle name="_KT (2)_1_Lora-tungchau_05-12  KH trung han 2016-2020 - Liem Thinh edited" xfId="345"/>
    <cellStyle name="_KT (2)_1_Lora-tungchau_Copy of 05-12  KH trung han 2016-2020 - Liem Thinh edited (1)" xfId="346"/>
    <cellStyle name="_KT (2)_1_Lora-tungchau_KH TPCP 2016-2020 (tong hop)" xfId="347"/>
    <cellStyle name="_KT (2)_1_Qt-HT3PQ1(CauKho)" xfId="348"/>
    <cellStyle name="_KT (2)_2" xfId="349"/>
    <cellStyle name="_KT (2)_2_TG-TH" xfId="350"/>
    <cellStyle name="_KT (2)_2_TG-TH 2" xfId="351"/>
    <cellStyle name="_KT (2)_2_TG-TH_05-12  KH trung han 2016-2020 - Liem Thinh edited" xfId="352"/>
    <cellStyle name="_KT (2)_2_TG-TH_ApGiaVatTu_cayxanh_latgach" xfId="353"/>
    <cellStyle name="_KT (2)_2_TG-TH_BANG TONG HOP TINH HINH THANH QUYET TOAN (MOI I)" xfId="354"/>
    <cellStyle name="_KT (2)_2_TG-TH_BAO CAO KLCT PT2000" xfId="355"/>
    <cellStyle name="_KT (2)_2_TG-TH_BAO CAO PT2000" xfId="356"/>
    <cellStyle name="_KT (2)_2_TG-TH_BAO CAO PT2000_Book1" xfId="357"/>
    <cellStyle name="_KT (2)_2_TG-TH_Bao cao XDCB 2001 - T11 KH dieu chinh 20-11-THAI" xfId="358"/>
    <cellStyle name="_KT (2)_2_TG-TH_BAO GIA NGAY 24-10-08 (co dam)" xfId="359"/>
    <cellStyle name="_KT (2)_2_TG-TH_BC  NAM 2007" xfId="360"/>
    <cellStyle name="_KT (2)_2_TG-TH_BC CV 6403 BKHĐT" xfId="361"/>
    <cellStyle name="_KT (2)_2_TG-TH_BC NQ11-CP - chinh sua lai" xfId="362"/>
    <cellStyle name="_KT (2)_2_TG-TH_BC NQ11-CP-Quynh sau bieu so3" xfId="363"/>
    <cellStyle name="_KT (2)_2_TG-TH_BC_NQ11-CP_-_Thao_sua_lai" xfId="364"/>
    <cellStyle name="_KT (2)_2_TG-TH_Bieu mau cong trinh khoi cong moi 3-4" xfId="365"/>
    <cellStyle name="_KT (2)_2_TG-TH_Bieu3ODA" xfId="366"/>
    <cellStyle name="_KT (2)_2_TG-TH_Bieu3ODA_1" xfId="367"/>
    <cellStyle name="_KT (2)_2_TG-TH_Bieu4HTMT" xfId="368"/>
    <cellStyle name="_KT (2)_2_TG-TH_bo sung von KCH nam 2010 va Du an tre kho khan" xfId="369"/>
    <cellStyle name="_KT (2)_2_TG-TH_Book1" xfId="370"/>
    <cellStyle name="_KT (2)_2_TG-TH_Book1 2" xfId="371"/>
    <cellStyle name="_KT (2)_2_TG-TH_Book1_1" xfId="372"/>
    <cellStyle name="_KT (2)_2_TG-TH_Book1_1 2" xfId="373"/>
    <cellStyle name="_KT (2)_2_TG-TH_Book1_1_BC CV 6403 BKHĐT" xfId="374"/>
    <cellStyle name="_KT (2)_2_TG-TH_Book1_1_Bieu mau cong trinh khoi cong moi 3-4" xfId="375"/>
    <cellStyle name="_KT (2)_2_TG-TH_Book1_1_Bieu3ODA" xfId="376"/>
    <cellStyle name="_KT (2)_2_TG-TH_Book1_1_Bieu4HTMT" xfId="377"/>
    <cellStyle name="_KT (2)_2_TG-TH_Book1_1_Book1" xfId="378"/>
    <cellStyle name="_KT (2)_2_TG-TH_Book1_1_Luy ke von ung nam 2011 -Thoa gui ngay 12-8-2012" xfId="379"/>
    <cellStyle name="_KT (2)_2_TG-TH_Book1_2" xfId="380"/>
    <cellStyle name="_KT (2)_2_TG-TH_Book1_2 2" xfId="381"/>
    <cellStyle name="_KT (2)_2_TG-TH_Book1_2_BC CV 6403 BKHĐT" xfId="382"/>
    <cellStyle name="_KT (2)_2_TG-TH_Book1_2_Bieu3ODA" xfId="383"/>
    <cellStyle name="_KT (2)_2_TG-TH_Book1_2_Luy ke von ung nam 2011 -Thoa gui ngay 12-8-2012" xfId="384"/>
    <cellStyle name="_KT (2)_2_TG-TH_Book1_3" xfId="385"/>
    <cellStyle name="_KT (2)_2_TG-TH_Book1_3 2" xfId="386"/>
    <cellStyle name="_KT (2)_2_TG-TH_Book1_BC CV 6403 BKHĐT" xfId="387"/>
    <cellStyle name="_KT (2)_2_TG-TH_Book1_Bieu mau cong trinh khoi cong moi 3-4" xfId="388"/>
    <cellStyle name="_KT (2)_2_TG-TH_Book1_Bieu3ODA" xfId="389"/>
    <cellStyle name="_KT (2)_2_TG-TH_Book1_Bieu4HTMT" xfId="390"/>
    <cellStyle name="_KT (2)_2_TG-TH_Book1_bo sung von KCH nam 2010 va Du an tre kho khan" xfId="391"/>
    <cellStyle name="_KT (2)_2_TG-TH_Book1_Book1" xfId="392"/>
    <cellStyle name="_KT (2)_2_TG-TH_Book1_danh muc chuan bi dau tu 2011 ngay 07-6-2011" xfId="393"/>
    <cellStyle name="_KT (2)_2_TG-TH_Book1_Danh muc pbo nguon von XSKT, XDCB nam 2009 chuyen qua nam 2010" xfId="394"/>
    <cellStyle name="_KT (2)_2_TG-TH_Book1_dieu chinh KH 2011 ngay 26-5-2011111" xfId="395"/>
    <cellStyle name="_KT (2)_2_TG-TH_Book1_DS KCH PHAN BO VON NSDP NAM 2010" xfId="396"/>
    <cellStyle name="_KT (2)_2_TG-TH_Book1_giao KH 2011 ngay 10-12-2010" xfId="397"/>
    <cellStyle name="_KT (2)_2_TG-TH_Book1_Luy ke von ung nam 2011 -Thoa gui ngay 12-8-2012" xfId="398"/>
    <cellStyle name="_KT (2)_2_TG-TH_CAU Khanh Nam(Thi Cong)" xfId="399"/>
    <cellStyle name="_KT (2)_2_TG-TH_CoCauPhi (version 1)" xfId="401"/>
    <cellStyle name="_KT (2)_2_TG-TH_Copy of 05-12  KH trung han 2016-2020 - Liem Thinh edited (1)" xfId="402"/>
    <cellStyle name="_KT (2)_2_TG-TH_ChiHuong_ApGia" xfId="400"/>
    <cellStyle name="_KT (2)_2_TG-TH_danh muc chuan bi dau tu 2011 ngay 07-6-2011" xfId="403"/>
    <cellStyle name="_KT (2)_2_TG-TH_Danh muc pbo nguon von XSKT, XDCB nam 2009 chuyen qua nam 2010" xfId="404"/>
    <cellStyle name="_KT (2)_2_TG-TH_DAU NOI PL-CL TAI PHU LAMHC" xfId="405"/>
    <cellStyle name="_KT (2)_2_TG-TH_dieu chinh KH 2011 ngay 26-5-2011111" xfId="406"/>
    <cellStyle name="_KT (2)_2_TG-TH_DS KCH PHAN BO VON NSDP NAM 2010" xfId="407"/>
    <cellStyle name="_KT (2)_2_TG-TH_DTCDT MR.2N110.HOCMON.TDTOAN.CCUNG" xfId="408"/>
    <cellStyle name="_KT (2)_2_TG-TH_DU TRU VAT TU" xfId="409"/>
    <cellStyle name="_KT (2)_2_TG-TH_GTGT 2003" xfId="411"/>
    <cellStyle name="_KT (2)_2_TG-TH_giao KH 2011 ngay 10-12-2010" xfId="410"/>
    <cellStyle name="_KT (2)_2_TG-TH_KE KHAI THUE GTGT 2004" xfId="412"/>
    <cellStyle name="_KT (2)_2_TG-TH_KE KHAI THUE GTGT 2004_BCTC2004" xfId="413"/>
    <cellStyle name="_KT (2)_2_TG-TH_kien giang 2" xfId="416"/>
    <cellStyle name="_KT (2)_2_TG-TH_KH TPCP 2016-2020 (tong hop)" xfId="414"/>
    <cellStyle name="_KT (2)_2_TG-TH_KH TPCP vung TNB (03-1-2012)" xfId="415"/>
    <cellStyle name="_KT (2)_2_TG-TH_Lora-tungchau" xfId="417"/>
    <cellStyle name="_KT (2)_2_TG-TH_Luy ke von ung nam 2011 -Thoa gui ngay 12-8-2012" xfId="418"/>
    <cellStyle name="_KT (2)_2_TG-TH_N-X-T-04" xfId="420"/>
    <cellStyle name="_KT (2)_2_TG-TH_NhanCong" xfId="419"/>
    <cellStyle name="_KT (2)_2_TG-TH_PGIA-phieu tham tra Kho bac" xfId="421"/>
    <cellStyle name="_KT (2)_2_TG-TH_PT02-02" xfId="423"/>
    <cellStyle name="_KT (2)_2_TG-TH_PT02-02_Book1" xfId="424"/>
    <cellStyle name="_KT (2)_2_TG-TH_PT02-03" xfId="425"/>
    <cellStyle name="_KT (2)_2_TG-TH_PT02-03_Book1" xfId="426"/>
    <cellStyle name="_KT (2)_2_TG-TH_phu luc tong ket tinh hinh TH giai doan 03-10 (ngay 30)" xfId="422"/>
    <cellStyle name="_KT (2)_2_TG-TH_Qt-HT3PQ1(CauKho)" xfId="427"/>
    <cellStyle name="_KT (2)_2_TG-TH_Sheet1" xfId="428"/>
    <cellStyle name="_KT (2)_2_TG-TH_TK152-04" xfId="429"/>
    <cellStyle name="_KT (2)_2_TG-TH_ÿÿÿÿÿ" xfId="430"/>
    <cellStyle name="_KT (2)_2_TG-TH_ÿÿÿÿÿ_Bieu mau cong trinh khoi cong moi 3-4" xfId="431"/>
    <cellStyle name="_KT (2)_2_TG-TH_ÿÿÿÿÿ_Bieu3ODA" xfId="432"/>
    <cellStyle name="_KT (2)_2_TG-TH_ÿÿÿÿÿ_Bieu4HTMT" xfId="433"/>
    <cellStyle name="_KT (2)_2_TG-TH_ÿÿÿÿÿ_kien giang 2" xfId="435"/>
    <cellStyle name="_KT (2)_2_TG-TH_ÿÿÿÿÿ_KH TPCP vung TNB (03-1-2012)" xfId="434"/>
    <cellStyle name="_KT (2)_3" xfId="436"/>
    <cellStyle name="_KT (2)_3_TG-TH" xfId="437"/>
    <cellStyle name="_KT (2)_3_TG-TH 2" xfId="438"/>
    <cellStyle name="_KT (2)_3_TG-TH_05-12  KH trung han 2016-2020 - Liem Thinh edited" xfId="439"/>
    <cellStyle name="_KT (2)_3_TG-TH_BC  NAM 2007" xfId="440"/>
    <cellStyle name="_KT (2)_3_TG-TH_Bieu mau cong trinh khoi cong moi 3-4" xfId="441"/>
    <cellStyle name="_KT (2)_3_TG-TH_Bieu3ODA" xfId="442"/>
    <cellStyle name="_KT (2)_3_TG-TH_Bieu3ODA_1" xfId="443"/>
    <cellStyle name="_KT (2)_3_TG-TH_Bieu4HTMT" xfId="444"/>
    <cellStyle name="_KT (2)_3_TG-TH_bo sung von KCH nam 2010 va Du an tre kho khan" xfId="445"/>
    <cellStyle name="_KT (2)_3_TG-TH_Book1" xfId="446"/>
    <cellStyle name="_KT (2)_3_TG-TH_Book1 2" xfId="447"/>
    <cellStyle name="_KT (2)_3_TG-TH_Book1_BC-QT-WB-dthao" xfId="448"/>
    <cellStyle name="_KT (2)_3_TG-TH_Book1_BC-QT-WB-dthao_05-12  KH trung han 2016-2020 - Liem Thinh edited" xfId="449"/>
    <cellStyle name="_KT (2)_3_TG-TH_Book1_BC-QT-WB-dthao_Copy of 05-12  KH trung han 2016-2020 - Liem Thinh edited (1)" xfId="450"/>
    <cellStyle name="_KT (2)_3_TG-TH_Book1_BC-QT-WB-dthao_KH TPCP 2016-2020 (tong hop)" xfId="451"/>
    <cellStyle name="_KT (2)_3_TG-TH_Book1_kien giang 2" xfId="453"/>
    <cellStyle name="_KT (2)_3_TG-TH_Book1_KH TPCP vung TNB (03-1-2012)" xfId="452"/>
    <cellStyle name="_KT (2)_3_TG-TH_Copy of 05-12  KH trung han 2016-2020 - Liem Thinh edited (1)" xfId="454"/>
    <cellStyle name="_KT (2)_3_TG-TH_danh muc chuan bi dau tu 2011 ngay 07-6-2011" xfId="455"/>
    <cellStyle name="_KT (2)_3_TG-TH_Danh muc pbo nguon von XSKT, XDCB nam 2009 chuyen qua nam 2010" xfId="456"/>
    <cellStyle name="_KT (2)_3_TG-TH_dieu chinh KH 2011 ngay 26-5-2011111" xfId="457"/>
    <cellStyle name="_KT (2)_3_TG-TH_DS KCH PHAN BO VON NSDP NAM 2010" xfId="458"/>
    <cellStyle name="_KT (2)_3_TG-TH_GTGT 2003" xfId="460"/>
    <cellStyle name="_KT (2)_3_TG-TH_giao KH 2011 ngay 10-12-2010" xfId="459"/>
    <cellStyle name="_KT (2)_3_TG-TH_KE KHAI THUE GTGT 2004" xfId="461"/>
    <cellStyle name="_KT (2)_3_TG-TH_KE KHAI THUE GTGT 2004_BCTC2004" xfId="462"/>
    <cellStyle name="_KT (2)_3_TG-TH_kien giang 2" xfId="465"/>
    <cellStyle name="_KT (2)_3_TG-TH_KH TPCP 2016-2020 (tong hop)" xfId="463"/>
    <cellStyle name="_KT (2)_3_TG-TH_KH TPCP vung TNB (03-1-2012)" xfId="464"/>
    <cellStyle name="_KT (2)_3_TG-TH_Lora-tungchau" xfId="466"/>
    <cellStyle name="_KT (2)_3_TG-TH_Lora-tungchau 2" xfId="467"/>
    <cellStyle name="_KT (2)_3_TG-TH_Lora-tungchau_05-12  KH trung han 2016-2020 - Liem Thinh edited" xfId="468"/>
    <cellStyle name="_KT (2)_3_TG-TH_Lora-tungchau_Copy of 05-12  KH trung han 2016-2020 - Liem Thinh edited (1)" xfId="469"/>
    <cellStyle name="_KT (2)_3_TG-TH_Lora-tungchau_KH TPCP 2016-2020 (tong hop)" xfId="470"/>
    <cellStyle name="_KT (2)_3_TG-TH_N-X-T-04" xfId="471"/>
    <cellStyle name="_KT (2)_3_TG-TH_PERSONAL" xfId="472"/>
    <cellStyle name="_KT (2)_3_TG-TH_PERSONAL_BC CV 6403 BKHĐT" xfId="473"/>
    <cellStyle name="_KT (2)_3_TG-TH_PERSONAL_Bieu mau cong trinh khoi cong moi 3-4" xfId="474"/>
    <cellStyle name="_KT (2)_3_TG-TH_PERSONAL_Bieu3ODA" xfId="475"/>
    <cellStyle name="_KT (2)_3_TG-TH_PERSONAL_Bieu4HTMT" xfId="476"/>
    <cellStyle name="_KT (2)_3_TG-TH_PERSONAL_Book1" xfId="477"/>
    <cellStyle name="_KT (2)_3_TG-TH_PERSONAL_Book1 2" xfId="478"/>
    <cellStyle name="_KT (2)_3_TG-TH_PERSONAL_HTQ.8 GD1" xfId="479"/>
    <cellStyle name="_KT (2)_3_TG-TH_PERSONAL_HTQ.8 GD1_05-12  KH trung han 2016-2020 - Liem Thinh edited" xfId="480"/>
    <cellStyle name="_KT (2)_3_TG-TH_PERSONAL_HTQ.8 GD1_Copy of 05-12  KH trung han 2016-2020 - Liem Thinh edited (1)" xfId="481"/>
    <cellStyle name="_KT (2)_3_TG-TH_PERSONAL_HTQ.8 GD1_KH TPCP 2016-2020 (tong hop)" xfId="482"/>
    <cellStyle name="_KT (2)_3_TG-TH_PERSONAL_Luy ke von ung nam 2011 -Thoa gui ngay 12-8-2012" xfId="483"/>
    <cellStyle name="_KT (2)_3_TG-TH_PERSONAL_Tong hop KHCB 2001" xfId="484"/>
    <cellStyle name="_KT (2)_3_TG-TH_Qt-HT3PQ1(CauKho)" xfId="485"/>
    <cellStyle name="_KT (2)_3_TG-TH_TK152-04" xfId="486"/>
    <cellStyle name="_KT (2)_3_TG-TH_ÿÿÿÿÿ" xfId="487"/>
    <cellStyle name="_KT (2)_3_TG-TH_ÿÿÿÿÿ_kien giang 2" xfId="489"/>
    <cellStyle name="_KT (2)_3_TG-TH_ÿÿÿÿÿ_KH TPCP vung TNB (03-1-2012)" xfId="488"/>
    <cellStyle name="_KT (2)_4" xfId="490"/>
    <cellStyle name="_KT (2)_4 2" xfId="491"/>
    <cellStyle name="_KT (2)_4_05-12  KH trung han 2016-2020 - Liem Thinh edited" xfId="492"/>
    <cellStyle name="_KT (2)_4_ApGiaVatTu_cayxanh_latgach" xfId="493"/>
    <cellStyle name="_KT (2)_4_BANG TONG HOP TINH HINH THANH QUYET TOAN (MOI I)" xfId="494"/>
    <cellStyle name="_KT (2)_4_BAO CAO KLCT PT2000" xfId="495"/>
    <cellStyle name="_KT (2)_4_BAO CAO PT2000" xfId="496"/>
    <cellStyle name="_KT (2)_4_BAO CAO PT2000_Book1" xfId="497"/>
    <cellStyle name="_KT (2)_4_Bao cao XDCB 2001 - T11 KH dieu chinh 20-11-THAI" xfId="498"/>
    <cellStyle name="_KT (2)_4_BAO GIA NGAY 24-10-08 (co dam)" xfId="499"/>
    <cellStyle name="_KT (2)_4_BC  NAM 2007" xfId="500"/>
    <cellStyle name="_KT (2)_4_BC CV 6403 BKHĐT" xfId="501"/>
    <cellStyle name="_KT (2)_4_BC NQ11-CP - chinh sua lai" xfId="502"/>
    <cellStyle name="_KT (2)_4_BC NQ11-CP-Quynh sau bieu so3" xfId="503"/>
    <cellStyle name="_KT (2)_4_BC_NQ11-CP_-_Thao_sua_lai" xfId="504"/>
    <cellStyle name="_KT (2)_4_Bieu mau cong trinh khoi cong moi 3-4" xfId="505"/>
    <cellStyle name="_KT (2)_4_Bieu3ODA" xfId="506"/>
    <cellStyle name="_KT (2)_4_Bieu3ODA_1" xfId="507"/>
    <cellStyle name="_KT (2)_4_Bieu4HTMT" xfId="508"/>
    <cellStyle name="_KT (2)_4_bo sung von KCH nam 2010 va Du an tre kho khan" xfId="509"/>
    <cellStyle name="_KT (2)_4_Book1" xfId="510"/>
    <cellStyle name="_KT (2)_4_Book1 2" xfId="511"/>
    <cellStyle name="_KT (2)_4_Book1_1" xfId="512"/>
    <cellStyle name="_KT (2)_4_Book1_1 2" xfId="513"/>
    <cellStyle name="_KT (2)_4_Book1_1_BC CV 6403 BKHĐT" xfId="514"/>
    <cellStyle name="_KT (2)_4_Book1_1_Bieu mau cong trinh khoi cong moi 3-4" xfId="515"/>
    <cellStyle name="_KT (2)_4_Book1_1_Bieu3ODA" xfId="516"/>
    <cellStyle name="_KT (2)_4_Book1_1_Bieu4HTMT" xfId="517"/>
    <cellStyle name="_KT (2)_4_Book1_1_Book1" xfId="518"/>
    <cellStyle name="_KT (2)_4_Book1_1_Luy ke von ung nam 2011 -Thoa gui ngay 12-8-2012" xfId="519"/>
    <cellStyle name="_KT (2)_4_Book1_2" xfId="520"/>
    <cellStyle name="_KT (2)_4_Book1_2 2" xfId="521"/>
    <cellStyle name="_KT (2)_4_Book1_2_BC CV 6403 BKHĐT" xfId="522"/>
    <cellStyle name="_KT (2)_4_Book1_2_Bieu3ODA" xfId="523"/>
    <cellStyle name="_KT (2)_4_Book1_2_Luy ke von ung nam 2011 -Thoa gui ngay 12-8-2012" xfId="524"/>
    <cellStyle name="_KT (2)_4_Book1_3" xfId="525"/>
    <cellStyle name="_KT (2)_4_Book1_3 2" xfId="526"/>
    <cellStyle name="_KT (2)_4_Book1_BC CV 6403 BKHĐT" xfId="527"/>
    <cellStyle name="_KT (2)_4_Book1_Bieu mau cong trinh khoi cong moi 3-4" xfId="528"/>
    <cellStyle name="_KT (2)_4_Book1_Bieu3ODA" xfId="529"/>
    <cellStyle name="_KT (2)_4_Book1_Bieu4HTMT" xfId="530"/>
    <cellStyle name="_KT (2)_4_Book1_bo sung von KCH nam 2010 va Du an tre kho khan" xfId="531"/>
    <cellStyle name="_KT (2)_4_Book1_Book1" xfId="532"/>
    <cellStyle name="_KT (2)_4_Book1_danh muc chuan bi dau tu 2011 ngay 07-6-2011" xfId="533"/>
    <cellStyle name="_KT (2)_4_Book1_Danh muc pbo nguon von XSKT, XDCB nam 2009 chuyen qua nam 2010" xfId="534"/>
    <cellStyle name="_KT (2)_4_Book1_dieu chinh KH 2011 ngay 26-5-2011111" xfId="535"/>
    <cellStyle name="_KT (2)_4_Book1_DS KCH PHAN BO VON NSDP NAM 2010" xfId="536"/>
    <cellStyle name="_KT (2)_4_Book1_giao KH 2011 ngay 10-12-2010" xfId="537"/>
    <cellStyle name="_KT (2)_4_Book1_Luy ke von ung nam 2011 -Thoa gui ngay 12-8-2012" xfId="538"/>
    <cellStyle name="_KT (2)_4_CAU Khanh Nam(Thi Cong)" xfId="539"/>
    <cellStyle name="_KT (2)_4_CoCauPhi (version 1)" xfId="541"/>
    <cellStyle name="_KT (2)_4_Copy of 05-12  KH trung han 2016-2020 - Liem Thinh edited (1)" xfId="542"/>
    <cellStyle name="_KT (2)_4_ChiHuong_ApGia" xfId="540"/>
    <cellStyle name="_KT (2)_4_danh muc chuan bi dau tu 2011 ngay 07-6-2011" xfId="543"/>
    <cellStyle name="_KT (2)_4_Danh muc pbo nguon von XSKT, XDCB nam 2009 chuyen qua nam 2010" xfId="544"/>
    <cellStyle name="_KT (2)_4_DAU NOI PL-CL TAI PHU LAMHC" xfId="545"/>
    <cellStyle name="_KT (2)_4_dieu chinh KH 2011 ngay 26-5-2011111" xfId="546"/>
    <cellStyle name="_KT (2)_4_DS KCH PHAN BO VON NSDP NAM 2010" xfId="547"/>
    <cellStyle name="_KT (2)_4_DTCDT MR.2N110.HOCMON.TDTOAN.CCUNG" xfId="548"/>
    <cellStyle name="_KT (2)_4_DU TRU VAT TU" xfId="549"/>
    <cellStyle name="_KT (2)_4_GTGT 2003" xfId="551"/>
    <cellStyle name="_KT (2)_4_giao KH 2011 ngay 10-12-2010" xfId="550"/>
    <cellStyle name="_KT (2)_4_KE KHAI THUE GTGT 2004" xfId="552"/>
    <cellStyle name="_KT (2)_4_KE KHAI THUE GTGT 2004_BCTC2004" xfId="553"/>
    <cellStyle name="_KT (2)_4_kien giang 2" xfId="556"/>
    <cellStyle name="_KT (2)_4_KH TPCP 2016-2020 (tong hop)" xfId="554"/>
    <cellStyle name="_KT (2)_4_KH TPCP vung TNB (03-1-2012)" xfId="555"/>
    <cellStyle name="_KT (2)_4_Lora-tungchau" xfId="557"/>
    <cellStyle name="_KT (2)_4_Luy ke von ung nam 2011 -Thoa gui ngay 12-8-2012" xfId="558"/>
    <cellStyle name="_KT (2)_4_N-X-T-04" xfId="560"/>
    <cellStyle name="_KT (2)_4_NhanCong" xfId="559"/>
    <cellStyle name="_KT (2)_4_PGIA-phieu tham tra Kho bac" xfId="561"/>
    <cellStyle name="_KT (2)_4_PT02-02" xfId="563"/>
    <cellStyle name="_KT (2)_4_PT02-02_Book1" xfId="564"/>
    <cellStyle name="_KT (2)_4_PT02-03" xfId="565"/>
    <cellStyle name="_KT (2)_4_PT02-03_Book1" xfId="566"/>
    <cellStyle name="_KT (2)_4_phu luc tong ket tinh hinh TH giai doan 03-10 (ngay 30)" xfId="562"/>
    <cellStyle name="_KT (2)_4_Qt-HT3PQ1(CauKho)" xfId="567"/>
    <cellStyle name="_KT (2)_4_Sheet1" xfId="568"/>
    <cellStyle name="_KT (2)_4_TG-TH" xfId="569"/>
    <cellStyle name="_KT (2)_4_TK152-04" xfId="570"/>
    <cellStyle name="_KT (2)_4_ÿÿÿÿÿ" xfId="571"/>
    <cellStyle name="_KT (2)_4_ÿÿÿÿÿ_Bieu mau cong trinh khoi cong moi 3-4" xfId="572"/>
    <cellStyle name="_KT (2)_4_ÿÿÿÿÿ_Bieu3ODA" xfId="573"/>
    <cellStyle name="_KT (2)_4_ÿÿÿÿÿ_Bieu4HTMT" xfId="574"/>
    <cellStyle name="_KT (2)_4_ÿÿÿÿÿ_kien giang 2" xfId="576"/>
    <cellStyle name="_KT (2)_4_ÿÿÿÿÿ_KH TPCP vung TNB (03-1-2012)" xfId="575"/>
    <cellStyle name="_KT (2)_5" xfId="577"/>
    <cellStyle name="_KT (2)_5 2" xfId="578"/>
    <cellStyle name="_KT (2)_5_05-12  KH trung han 2016-2020 - Liem Thinh edited" xfId="579"/>
    <cellStyle name="_KT (2)_5_ApGiaVatTu_cayxanh_latgach" xfId="580"/>
    <cellStyle name="_KT (2)_5_BANG TONG HOP TINH HINH THANH QUYET TOAN (MOI I)" xfId="581"/>
    <cellStyle name="_KT (2)_5_BAO CAO KLCT PT2000" xfId="582"/>
    <cellStyle name="_KT (2)_5_BAO CAO PT2000" xfId="583"/>
    <cellStyle name="_KT (2)_5_BAO CAO PT2000_Book1" xfId="584"/>
    <cellStyle name="_KT (2)_5_Bao cao XDCB 2001 - T11 KH dieu chinh 20-11-THAI" xfId="585"/>
    <cellStyle name="_KT (2)_5_BAO GIA NGAY 24-10-08 (co dam)" xfId="586"/>
    <cellStyle name="_KT (2)_5_BC  NAM 2007" xfId="587"/>
    <cellStyle name="_KT (2)_5_BC CV 6403 BKHĐT" xfId="588"/>
    <cellStyle name="_KT (2)_5_BC NQ11-CP - chinh sua lai" xfId="589"/>
    <cellStyle name="_KT (2)_5_BC NQ11-CP-Quynh sau bieu so3" xfId="590"/>
    <cellStyle name="_KT (2)_5_BC_NQ11-CP_-_Thao_sua_lai" xfId="591"/>
    <cellStyle name="_KT (2)_5_Bieu mau cong trinh khoi cong moi 3-4" xfId="592"/>
    <cellStyle name="_KT (2)_5_Bieu3ODA" xfId="593"/>
    <cellStyle name="_KT (2)_5_Bieu3ODA_1" xfId="594"/>
    <cellStyle name="_KT (2)_5_Bieu4HTMT" xfId="595"/>
    <cellStyle name="_KT (2)_5_bo sung von KCH nam 2010 va Du an tre kho khan" xfId="596"/>
    <cellStyle name="_KT (2)_5_Book1" xfId="597"/>
    <cellStyle name="_KT (2)_5_Book1 2" xfId="598"/>
    <cellStyle name="_KT (2)_5_Book1_1" xfId="599"/>
    <cellStyle name="_KT (2)_5_Book1_1 2" xfId="600"/>
    <cellStyle name="_KT (2)_5_Book1_1_BC CV 6403 BKHĐT" xfId="601"/>
    <cellStyle name="_KT (2)_5_Book1_1_Bieu mau cong trinh khoi cong moi 3-4" xfId="602"/>
    <cellStyle name="_KT (2)_5_Book1_1_Bieu3ODA" xfId="603"/>
    <cellStyle name="_KT (2)_5_Book1_1_Bieu4HTMT" xfId="604"/>
    <cellStyle name="_KT (2)_5_Book1_1_Book1" xfId="605"/>
    <cellStyle name="_KT (2)_5_Book1_1_Luy ke von ung nam 2011 -Thoa gui ngay 12-8-2012" xfId="606"/>
    <cellStyle name="_KT (2)_5_Book1_2" xfId="607"/>
    <cellStyle name="_KT (2)_5_Book1_2 2" xfId="608"/>
    <cellStyle name="_KT (2)_5_Book1_2_BC CV 6403 BKHĐT" xfId="609"/>
    <cellStyle name="_KT (2)_5_Book1_2_Bieu3ODA" xfId="610"/>
    <cellStyle name="_KT (2)_5_Book1_2_Luy ke von ung nam 2011 -Thoa gui ngay 12-8-2012" xfId="611"/>
    <cellStyle name="_KT (2)_5_Book1_3" xfId="612"/>
    <cellStyle name="_KT (2)_5_Book1_BC CV 6403 BKHĐT" xfId="613"/>
    <cellStyle name="_KT (2)_5_Book1_BC-QT-WB-dthao" xfId="614"/>
    <cellStyle name="_KT (2)_5_Book1_Bieu mau cong trinh khoi cong moi 3-4" xfId="615"/>
    <cellStyle name="_KT (2)_5_Book1_Bieu3ODA" xfId="616"/>
    <cellStyle name="_KT (2)_5_Book1_Bieu4HTMT" xfId="617"/>
    <cellStyle name="_KT (2)_5_Book1_bo sung von KCH nam 2010 va Du an tre kho khan" xfId="618"/>
    <cellStyle name="_KT (2)_5_Book1_Book1" xfId="619"/>
    <cellStyle name="_KT (2)_5_Book1_danh muc chuan bi dau tu 2011 ngay 07-6-2011" xfId="620"/>
    <cellStyle name="_KT (2)_5_Book1_Danh muc pbo nguon von XSKT, XDCB nam 2009 chuyen qua nam 2010" xfId="621"/>
    <cellStyle name="_KT (2)_5_Book1_dieu chinh KH 2011 ngay 26-5-2011111" xfId="622"/>
    <cellStyle name="_KT (2)_5_Book1_DS KCH PHAN BO VON NSDP NAM 2010" xfId="623"/>
    <cellStyle name="_KT (2)_5_Book1_giao KH 2011 ngay 10-12-2010" xfId="624"/>
    <cellStyle name="_KT (2)_5_Book1_Luy ke von ung nam 2011 -Thoa gui ngay 12-8-2012" xfId="625"/>
    <cellStyle name="_KT (2)_5_CAU Khanh Nam(Thi Cong)" xfId="626"/>
    <cellStyle name="_KT (2)_5_CoCauPhi (version 1)" xfId="628"/>
    <cellStyle name="_KT (2)_5_Copy of 05-12  KH trung han 2016-2020 - Liem Thinh edited (1)" xfId="629"/>
    <cellStyle name="_KT (2)_5_ChiHuong_ApGia" xfId="627"/>
    <cellStyle name="_KT (2)_5_danh muc chuan bi dau tu 2011 ngay 07-6-2011" xfId="630"/>
    <cellStyle name="_KT (2)_5_Danh muc pbo nguon von XSKT, XDCB nam 2009 chuyen qua nam 2010" xfId="631"/>
    <cellStyle name="_KT (2)_5_DAU NOI PL-CL TAI PHU LAMHC" xfId="632"/>
    <cellStyle name="_KT (2)_5_dieu chinh KH 2011 ngay 26-5-2011111" xfId="633"/>
    <cellStyle name="_KT (2)_5_DS KCH PHAN BO VON NSDP NAM 2010" xfId="634"/>
    <cellStyle name="_KT (2)_5_DTCDT MR.2N110.HOCMON.TDTOAN.CCUNG" xfId="635"/>
    <cellStyle name="_KT (2)_5_DU TRU VAT TU" xfId="636"/>
    <cellStyle name="_KT (2)_5_GTGT 2003" xfId="638"/>
    <cellStyle name="_KT (2)_5_giao KH 2011 ngay 10-12-2010" xfId="637"/>
    <cellStyle name="_KT (2)_5_KE KHAI THUE GTGT 2004" xfId="639"/>
    <cellStyle name="_KT (2)_5_KE KHAI THUE GTGT 2004_BCTC2004" xfId="640"/>
    <cellStyle name="_KT (2)_5_kien giang 2" xfId="643"/>
    <cellStyle name="_KT (2)_5_KH TPCP 2016-2020 (tong hop)" xfId="641"/>
    <cellStyle name="_KT (2)_5_KH TPCP vung TNB (03-1-2012)" xfId="642"/>
    <cellStyle name="_KT (2)_5_Lora-tungchau" xfId="644"/>
    <cellStyle name="_KT (2)_5_Luy ke von ung nam 2011 -Thoa gui ngay 12-8-2012" xfId="645"/>
    <cellStyle name="_KT (2)_5_N-X-T-04" xfId="647"/>
    <cellStyle name="_KT (2)_5_NhanCong" xfId="646"/>
    <cellStyle name="_KT (2)_5_PGIA-phieu tham tra Kho bac" xfId="648"/>
    <cellStyle name="_KT (2)_5_PT02-02" xfId="650"/>
    <cellStyle name="_KT (2)_5_PT02-02_Book1" xfId="651"/>
    <cellStyle name="_KT (2)_5_PT02-03" xfId="652"/>
    <cellStyle name="_KT (2)_5_PT02-03_Book1" xfId="653"/>
    <cellStyle name="_KT (2)_5_phu luc tong ket tinh hinh TH giai doan 03-10 (ngay 30)" xfId="649"/>
    <cellStyle name="_KT (2)_5_Qt-HT3PQ1(CauKho)" xfId="654"/>
    <cellStyle name="_KT (2)_5_Sheet1" xfId="655"/>
    <cellStyle name="_KT (2)_5_TK152-04" xfId="656"/>
    <cellStyle name="_KT (2)_5_ÿÿÿÿÿ" xfId="657"/>
    <cellStyle name="_KT (2)_5_ÿÿÿÿÿ_Bieu mau cong trinh khoi cong moi 3-4" xfId="658"/>
    <cellStyle name="_KT (2)_5_ÿÿÿÿÿ_Bieu3ODA" xfId="659"/>
    <cellStyle name="_KT (2)_5_ÿÿÿÿÿ_Bieu4HTMT" xfId="660"/>
    <cellStyle name="_KT (2)_5_ÿÿÿÿÿ_kien giang 2" xfId="662"/>
    <cellStyle name="_KT (2)_5_ÿÿÿÿÿ_KH TPCP vung TNB (03-1-2012)" xfId="661"/>
    <cellStyle name="_KT (2)_BC  NAM 2007" xfId="663"/>
    <cellStyle name="_KT (2)_Bieu mau cong trinh khoi cong moi 3-4" xfId="664"/>
    <cellStyle name="_KT (2)_Bieu3ODA" xfId="665"/>
    <cellStyle name="_KT (2)_Bieu3ODA_1" xfId="666"/>
    <cellStyle name="_KT (2)_Bieu4HTMT" xfId="667"/>
    <cellStyle name="_KT (2)_bo sung von KCH nam 2010 va Du an tre kho khan" xfId="668"/>
    <cellStyle name="_KT (2)_Book1" xfId="669"/>
    <cellStyle name="_KT (2)_Book1 2" xfId="670"/>
    <cellStyle name="_KT (2)_Book1_BC-QT-WB-dthao" xfId="671"/>
    <cellStyle name="_KT (2)_Book1_BC-QT-WB-dthao_05-12  KH trung han 2016-2020 - Liem Thinh edited" xfId="672"/>
    <cellStyle name="_KT (2)_Book1_BC-QT-WB-dthao_Copy of 05-12  KH trung han 2016-2020 - Liem Thinh edited (1)" xfId="673"/>
    <cellStyle name="_KT (2)_Book1_BC-QT-WB-dthao_KH TPCP 2016-2020 (tong hop)" xfId="674"/>
    <cellStyle name="_KT (2)_Book1_kien giang 2" xfId="676"/>
    <cellStyle name="_KT (2)_Book1_KH TPCP vung TNB (03-1-2012)" xfId="675"/>
    <cellStyle name="_KT (2)_Copy of 05-12  KH trung han 2016-2020 - Liem Thinh edited (1)" xfId="677"/>
    <cellStyle name="_KT (2)_danh muc chuan bi dau tu 2011 ngay 07-6-2011" xfId="678"/>
    <cellStyle name="_KT (2)_Danh muc pbo nguon von XSKT, XDCB nam 2009 chuyen qua nam 2010" xfId="679"/>
    <cellStyle name="_KT (2)_dieu chinh KH 2011 ngay 26-5-2011111" xfId="680"/>
    <cellStyle name="_KT (2)_DS KCH PHAN BO VON NSDP NAM 2010" xfId="681"/>
    <cellStyle name="_KT (2)_GTGT 2003" xfId="683"/>
    <cellStyle name="_KT (2)_giao KH 2011 ngay 10-12-2010" xfId="682"/>
    <cellStyle name="_KT (2)_KE KHAI THUE GTGT 2004" xfId="684"/>
    <cellStyle name="_KT (2)_KE KHAI THUE GTGT 2004_BCTC2004" xfId="685"/>
    <cellStyle name="_KT (2)_kien giang 2" xfId="688"/>
    <cellStyle name="_KT (2)_KH TPCP 2016-2020 (tong hop)" xfId="686"/>
    <cellStyle name="_KT (2)_KH TPCP vung TNB (03-1-2012)" xfId="687"/>
    <cellStyle name="_KT (2)_Lora-tungchau" xfId="689"/>
    <cellStyle name="_KT (2)_Lora-tungchau 2" xfId="690"/>
    <cellStyle name="_KT (2)_Lora-tungchau_05-12  KH trung han 2016-2020 - Liem Thinh edited" xfId="691"/>
    <cellStyle name="_KT (2)_Lora-tungchau_Copy of 05-12  KH trung han 2016-2020 - Liem Thinh edited (1)" xfId="692"/>
    <cellStyle name="_KT (2)_Lora-tungchau_KH TPCP 2016-2020 (tong hop)" xfId="693"/>
    <cellStyle name="_KT (2)_N-X-T-04" xfId="694"/>
    <cellStyle name="_KT (2)_PERSONAL" xfId="695"/>
    <cellStyle name="_KT (2)_PERSONAL_BC CV 6403 BKHĐT" xfId="696"/>
    <cellStyle name="_KT (2)_PERSONAL_Bieu mau cong trinh khoi cong moi 3-4" xfId="697"/>
    <cellStyle name="_KT (2)_PERSONAL_Bieu3ODA" xfId="698"/>
    <cellStyle name="_KT (2)_PERSONAL_Bieu4HTMT" xfId="699"/>
    <cellStyle name="_KT (2)_PERSONAL_Book1" xfId="700"/>
    <cellStyle name="_KT (2)_PERSONAL_Book1 2" xfId="701"/>
    <cellStyle name="_KT (2)_PERSONAL_HTQ.8 GD1" xfId="702"/>
    <cellStyle name="_KT (2)_PERSONAL_HTQ.8 GD1_05-12  KH trung han 2016-2020 - Liem Thinh edited" xfId="703"/>
    <cellStyle name="_KT (2)_PERSONAL_HTQ.8 GD1_Copy of 05-12  KH trung han 2016-2020 - Liem Thinh edited (1)" xfId="704"/>
    <cellStyle name="_KT (2)_PERSONAL_HTQ.8 GD1_KH TPCP 2016-2020 (tong hop)" xfId="705"/>
    <cellStyle name="_KT (2)_PERSONAL_Luy ke von ung nam 2011 -Thoa gui ngay 12-8-2012" xfId="706"/>
    <cellStyle name="_KT (2)_PERSONAL_Tong hop KHCB 2001" xfId="707"/>
    <cellStyle name="_KT (2)_Qt-HT3PQ1(CauKho)" xfId="708"/>
    <cellStyle name="_KT (2)_TG-TH" xfId="709"/>
    <cellStyle name="_KT (2)_TK152-04" xfId="710"/>
    <cellStyle name="_KT (2)_ÿÿÿÿÿ" xfId="711"/>
    <cellStyle name="_KT (2)_ÿÿÿÿÿ_kien giang 2" xfId="713"/>
    <cellStyle name="_KT (2)_ÿÿÿÿÿ_KH TPCP vung TNB (03-1-2012)" xfId="712"/>
    <cellStyle name="_KT_TG" xfId="714"/>
    <cellStyle name="_KT_TG_1" xfId="715"/>
    <cellStyle name="_KT_TG_1 2" xfId="716"/>
    <cellStyle name="_KT_TG_1_05-12  KH trung han 2016-2020 - Liem Thinh edited" xfId="717"/>
    <cellStyle name="_KT_TG_1_ApGiaVatTu_cayxanh_latgach" xfId="718"/>
    <cellStyle name="_KT_TG_1_BANG TONG HOP TINH HINH THANH QUYET TOAN (MOI I)" xfId="719"/>
    <cellStyle name="_KT_TG_1_BAO CAO KLCT PT2000" xfId="720"/>
    <cellStyle name="_KT_TG_1_BAO CAO PT2000" xfId="721"/>
    <cellStyle name="_KT_TG_1_BAO CAO PT2000_Book1" xfId="722"/>
    <cellStyle name="_KT_TG_1_Bao cao XDCB 2001 - T11 KH dieu chinh 20-11-THAI" xfId="723"/>
    <cellStyle name="_KT_TG_1_BAO GIA NGAY 24-10-08 (co dam)" xfId="724"/>
    <cellStyle name="_KT_TG_1_BC  NAM 2007" xfId="725"/>
    <cellStyle name="_KT_TG_1_BC CV 6403 BKHĐT" xfId="726"/>
    <cellStyle name="_KT_TG_1_BC NQ11-CP - chinh sua lai" xfId="727"/>
    <cellStyle name="_KT_TG_1_BC NQ11-CP-Quynh sau bieu so3" xfId="728"/>
    <cellStyle name="_KT_TG_1_BC_NQ11-CP_-_Thao_sua_lai" xfId="729"/>
    <cellStyle name="_KT_TG_1_Bieu mau cong trinh khoi cong moi 3-4" xfId="730"/>
    <cellStyle name="_KT_TG_1_Bieu3ODA" xfId="731"/>
    <cellStyle name="_KT_TG_1_Bieu3ODA_1" xfId="732"/>
    <cellStyle name="_KT_TG_1_Bieu4HTMT" xfId="733"/>
    <cellStyle name="_KT_TG_1_bo sung von KCH nam 2010 va Du an tre kho khan" xfId="734"/>
    <cellStyle name="_KT_TG_1_Book1" xfId="735"/>
    <cellStyle name="_KT_TG_1_Book1 2" xfId="736"/>
    <cellStyle name="_KT_TG_1_Book1_1" xfId="737"/>
    <cellStyle name="_KT_TG_1_Book1_1 2" xfId="738"/>
    <cellStyle name="_KT_TG_1_Book1_1_BC CV 6403 BKHĐT" xfId="739"/>
    <cellStyle name="_KT_TG_1_Book1_1_Bieu mau cong trinh khoi cong moi 3-4" xfId="740"/>
    <cellStyle name="_KT_TG_1_Book1_1_Bieu3ODA" xfId="741"/>
    <cellStyle name="_KT_TG_1_Book1_1_Bieu4HTMT" xfId="742"/>
    <cellStyle name="_KT_TG_1_Book1_1_Book1" xfId="743"/>
    <cellStyle name="_KT_TG_1_Book1_1_Luy ke von ung nam 2011 -Thoa gui ngay 12-8-2012" xfId="744"/>
    <cellStyle name="_KT_TG_1_Book1_2" xfId="745"/>
    <cellStyle name="_KT_TG_1_Book1_2 2" xfId="746"/>
    <cellStyle name="_KT_TG_1_Book1_2_BC CV 6403 BKHĐT" xfId="747"/>
    <cellStyle name="_KT_TG_1_Book1_2_Bieu3ODA" xfId="748"/>
    <cellStyle name="_KT_TG_1_Book1_2_Luy ke von ung nam 2011 -Thoa gui ngay 12-8-2012" xfId="749"/>
    <cellStyle name="_KT_TG_1_Book1_3" xfId="750"/>
    <cellStyle name="_KT_TG_1_Book1_BC CV 6403 BKHĐT" xfId="751"/>
    <cellStyle name="_KT_TG_1_Book1_BC-QT-WB-dthao" xfId="752"/>
    <cellStyle name="_KT_TG_1_Book1_Bieu mau cong trinh khoi cong moi 3-4" xfId="753"/>
    <cellStyle name="_KT_TG_1_Book1_Bieu3ODA" xfId="754"/>
    <cellStyle name="_KT_TG_1_Book1_Bieu4HTMT" xfId="755"/>
    <cellStyle name="_KT_TG_1_Book1_bo sung von KCH nam 2010 va Du an tre kho khan" xfId="756"/>
    <cellStyle name="_KT_TG_1_Book1_Book1" xfId="757"/>
    <cellStyle name="_KT_TG_1_Book1_danh muc chuan bi dau tu 2011 ngay 07-6-2011" xfId="758"/>
    <cellStyle name="_KT_TG_1_Book1_Danh muc pbo nguon von XSKT, XDCB nam 2009 chuyen qua nam 2010" xfId="759"/>
    <cellStyle name="_KT_TG_1_Book1_dieu chinh KH 2011 ngay 26-5-2011111" xfId="760"/>
    <cellStyle name="_KT_TG_1_Book1_DS KCH PHAN BO VON NSDP NAM 2010" xfId="761"/>
    <cellStyle name="_KT_TG_1_Book1_giao KH 2011 ngay 10-12-2010" xfId="762"/>
    <cellStyle name="_KT_TG_1_Book1_Luy ke von ung nam 2011 -Thoa gui ngay 12-8-2012" xfId="763"/>
    <cellStyle name="_KT_TG_1_CAU Khanh Nam(Thi Cong)" xfId="764"/>
    <cellStyle name="_KT_TG_1_CoCauPhi (version 1)" xfId="766"/>
    <cellStyle name="_KT_TG_1_Copy of 05-12  KH trung han 2016-2020 - Liem Thinh edited (1)" xfId="767"/>
    <cellStyle name="_KT_TG_1_ChiHuong_ApGia" xfId="765"/>
    <cellStyle name="_KT_TG_1_danh muc chuan bi dau tu 2011 ngay 07-6-2011" xfId="768"/>
    <cellStyle name="_KT_TG_1_Danh muc pbo nguon von XSKT, XDCB nam 2009 chuyen qua nam 2010" xfId="769"/>
    <cellStyle name="_KT_TG_1_DAU NOI PL-CL TAI PHU LAMHC" xfId="770"/>
    <cellStyle name="_KT_TG_1_dieu chinh KH 2011 ngay 26-5-2011111" xfId="771"/>
    <cellStyle name="_KT_TG_1_DS KCH PHAN BO VON NSDP NAM 2010" xfId="772"/>
    <cellStyle name="_KT_TG_1_DTCDT MR.2N110.HOCMON.TDTOAN.CCUNG" xfId="773"/>
    <cellStyle name="_KT_TG_1_DU TRU VAT TU" xfId="774"/>
    <cellStyle name="_KT_TG_1_GTGT 2003" xfId="776"/>
    <cellStyle name="_KT_TG_1_giao KH 2011 ngay 10-12-2010" xfId="775"/>
    <cellStyle name="_KT_TG_1_KE KHAI THUE GTGT 2004" xfId="777"/>
    <cellStyle name="_KT_TG_1_KE KHAI THUE GTGT 2004_BCTC2004" xfId="778"/>
    <cellStyle name="_KT_TG_1_kien giang 2" xfId="781"/>
    <cellStyle name="_KT_TG_1_KH TPCP 2016-2020 (tong hop)" xfId="779"/>
    <cellStyle name="_KT_TG_1_KH TPCP vung TNB (03-1-2012)" xfId="780"/>
    <cellStyle name="_KT_TG_1_Lora-tungchau" xfId="782"/>
    <cellStyle name="_KT_TG_1_Luy ke von ung nam 2011 -Thoa gui ngay 12-8-2012" xfId="783"/>
    <cellStyle name="_KT_TG_1_N-X-T-04" xfId="785"/>
    <cellStyle name="_KT_TG_1_NhanCong" xfId="784"/>
    <cellStyle name="_KT_TG_1_PGIA-phieu tham tra Kho bac" xfId="786"/>
    <cellStyle name="_KT_TG_1_PT02-02" xfId="788"/>
    <cellStyle name="_KT_TG_1_PT02-02_Book1" xfId="789"/>
    <cellStyle name="_KT_TG_1_PT02-03" xfId="790"/>
    <cellStyle name="_KT_TG_1_PT02-03_Book1" xfId="791"/>
    <cellStyle name="_KT_TG_1_phu luc tong ket tinh hinh TH giai doan 03-10 (ngay 30)" xfId="787"/>
    <cellStyle name="_KT_TG_1_Qt-HT3PQ1(CauKho)" xfId="792"/>
    <cellStyle name="_KT_TG_1_Sheet1" xfId="793"/>
    <cellStyle name="_KT_TG_1_TK152-04" xfId="794"/>
    <cellStyle name="_KT_TG_1_ÿÿÿÿÿ" xfId="795"/>
    <cellStyle name="_KT_TG_1_ÿÿÿÿÿ_Bieu mau cong trinh khoi cong moi 3-4" xfId="796"/>
    <cellStyle name="_KT_TG_1_ÿÿÿÿÿ_Bieu3ODA" xfId="797"/>
    <cellStyle name="_KT_TG_1_ÿÿÿÿÿ_Bieu4HTMT" xfId="798"/>
    <cellStyle name="_KT_TG_1_ÿÿÿÿÿ_kien giang 2" xfId="800"/>
    <cellStyle name="_KT_TG_1_ÿÿÿÿÿ_KH TPCP vung TNB (03-1-2012)" xfId="799"/>
    <cellStyle name="_KT_TG_2" xfId="801"/>
    <cellStyle name="_KT_TG_2 2" xfId="802"/>
    <cellStyle name="_KT_TG_2_05-12  KH trung han 2016-2020 - Liem Thinh edited" xfId="803"/>
    <cellStyle name="_KT_TG_2_ApGiaVatTu_cayxanh_latgach" xfId="804"/>
    <cellStyle name="_KT_TG_2_BANG TONG HOP TINH HINH THANH QUYET TOAN (MOI I)" xfId="805"/>
    <cellStyle name="_KT_TG_2_BAO CAO KLCT PT2000" xfId="806"/>
    <cellStyle name="_KT_TG_2_BAO CAO PT2000" xfId="807"/>
    <cellStyle name="_KT_TG_2_BAO CAO PT2000_Book1" xfId="808"/>
    <cellStyle name="_KT_TG_2_Bao cao XDCB 2001 - T11 KH dieu chinh 20-11-THAI" xfId="809"/>
    <cellStyle name="_KT_TG_2_BAO GIA NGAY 24-10-08 (co dam)" xfId="810"/>
    <cellStyle name="_KT_TG_2_BC  NAM 2007" xfId="811"/>
    <cellStyle name="_KT_TG_2_BC CV 6403 BKHĐT" xfId="812"/>
    <cellStyle name="_KT_TG_2_BC NQ11-CP - chinh sua lai" xfId="813"/>
    <cellStyle name="_KT_TG_2_BC NQ11-CP-Quynh sau bieu so3" xfId="814"/>
    <cellStyle name="_KT_TG_2_BC_NQ11-CP_-_Thao_sua_lai" xfId="815"/>
    <cellStyle name="_KT_TG_2_Bieu mau cong trinh khoi cong moi 3-4" xfId="816"/>
    <cellStyle name="_KT_TG_2_Bieu3ODA" xfId="817"/>
    <cellStyle name="_KT_TG_2_Bieu3ODA_1" xfId="818"/>
    <cellStyle name="_KT_TG_2_Bieu4HTMT" xfId="819"/>
    <cellStyle name="_KT_TG_2_bo sung von KCH nam 2010 va Du an tre kho khan" xfId="820"/>
    <cellStyle name="_KT_TG_2_Book1" xfId="821"/>
    <cellStyle name="_KT_TG_2_Book1 2" xfId="822"/>
    <cellStyle name="_KT_TG_2_Book1_1" xfId="823"/>
    <cellStyle name="_KT_TG_2_Book1_1 2" xfId="824"/>
    <cellStyle name="_KT_TG_2_Book1_1_BC CV 6403 BKHĐT" xfId="825"/>
    <cellStyle name="_KT_TG_2_Book1_1_Bieu mau cong trinh khoi cong moi 3-4" xfId="826"/>
    <cellStyle name="_KT_TG_2_Book1_1_Bieu3ODA" xfId="827"/>
    <cellStyle name="_KT_TG_2_Book1_1_Bieu4HTMT" xfId="828"/>
    <cellStyle name="_KT_TG_2_Book1_1_Book1" xfId="829"/>
    <cellStyle name="_KT_TG_2_Book1_1_Luy ke von ung nam 2011 -Thoa gui ngay 12-8-2012" xfId="830"/>
    <cellStyle name="_KT_TG_2_Book1_2" xfId="831"/>
    <cellStyle name="_KT_TG_2_Book1_2 2" xfId="832"/>
    <cellStyle name="_KT_TG_2_Book1_2_BC CV 6403 BKHĐT" xfId="833"/>
    <cellStyle name="_KT_TG_2_Book1_2_Bieu3ODA" xfId="834"/>
    <cellStyle name="_KT_TG_2_Book1_2_Luy ke von ung nam 2011 -Thoa gui ngay 12-8-2012" xfId="835"/>
    <cellStyle name="_KT_TG_2_Book1_3" xfId="836"/>
    <cellStyle name="_KT_TG_2_Book1_3 2" xfId="837"/>
    <cellStyle name="_KT_TG_2_Book1_BC CV 6403 BKHĐT" xfId="838"/>
    <cellStyle name="_KT_TG_2_Book1_Bieu mau cong trinh khoi cong moi 3-4" xfId="839"/>
    <cellStyle name="_KT_TG_2_Book1_Bieu3ODA" xfId="840"/>
    <cellStyle name="_KT_TG_2_Book1_Bieu4HTMT" xfId="841"/>
    <cellStyle name="_KT_TG_2_Book1_bo sung von KCH nam 2010 va Du an tre kho khan" xfId="842"/>
    <cellStyle name="_KT_TG_2_Book1_Book1" xfId="843"/>
    <cellStyle name="_KT_TG_2_Book1_danh muc chuan bi dau tu 2011 ngay 07-6-2011" xfId="844"/>
    <cellStyle name="_KT_TG_2_Book1_Danh muc pbo nguon von XSKT, XDCB nam 2009 chuyen qua nam 2010" xfId="845"/>
    <cellStyle name="_KT_TG_2_Book1_dieu chinh KH 2011 ngay 26-5-2011111" xfId="846"/>
    <cellStyle name="_KT_TG_2_Book1_DS KCH PHAN BO VON NSDP NAM 2010" xfId="847"/>
    <cellStyle name="_KT_TG_2_Book1_giao KH 2011 ngay 10-12-2010" xfId="848"/>
    <cellStyle name="_KT_TG_2_Book1_Luy ke von ung nam 2011 -Thoa gui ngay 12-8-2012" xfId="849"/>
    <cellStyle name="_KT_TG_2_CAU Khanh Nam(Thi Cong)" xfId="850"/>
    <cellStyle name="_KT_TG_2_CoCauPhi (version 1)" xfId="852"/>
    <cellStyle name="_KT_TG_2_Copy of 05-12  KH trung han 2016-2020 - Liem Thinh edited (1)" xfId="853"/>
    <cellStyle name="_KT_TG_2_ChiHuong_ApGia" xfId="851"/>
    <cellStyle name="_KT_TG_2_danh muc chuan bi dau tu 2011 ngay 07-6-2011" xfId="854"/>
    <cellStyle name="_KT_TG_2_Danh muc pbo nguon von XSKT, XDCB nam 2009 chuyen qua nam 2010" xfId="855"/>
    <cellStyle name="_KT_TG_2_DAU NOI PL-CL TAI PHU LAMHC" xfId="856"/>
    <cellStyle name="_KT_TG_2_dieu chinh KH 2011 ngay 26-5-2011111" xfId="857"/>
    <cellStyle name="_KT_TG_2_DS KCH PHAN BO VON NSDP NAM 2010" xfId="858"/>
    <cellStyle name="_KT_TG_2_DTCDT MR.2N110.HOCMON.TDTOAN.CCUNG" xfId="859"/>
    <cellStyle name="_KT_TG_2_DU TRU VAT TU" xfId="860"/>
    <cellStyle name="_KT_TG_2_GTGT 2003" xfId="862"/>
    <cellStyle name="_KT_TG_2_giao KH 2011 ngay 10-12-2010" xfId="861"/>
    <cellStyle name="_KT_TG_2_KE KHAI THUE GTGT 2004" xfId="863"/>
    <cellStyle name="_KT_TG_2_KE KHAI THUE GTGT 2004_BCTC2004" xfId="864"/>
    <cellStyle name="_KT_TG_2_kien giang 2" xfId="867"/>
    <cellStyle name="_KT_TG_2_KH TPCP 2016-2020 (tong hop)" xfId="865"/>
    <cellStyle name="_KT_TG_2_KH TPCP vung TNB (03-1-2012)" xfId="866"/>
    <cellStyle name="_KT_TG_2_Lora-tungchau" xfId="868"/>
    <cellStyle name="_KT_TG_2_Luy ke von ung nam 2011 -Thoa gui ngay 12-8-2012" xfId="869"/>
    <cellStyle name="_KT_TG_2_N-X-T-04" xfId="871"/>
    <cellStyle name="_KT_TG_2_NhanCong" xfId="870"/>
    <cellStyle name="_KT_TG_2_PGIA-phieu tham tra Kho bac" xfId="872"/>
    <cellStyle name="_KT_TG_2_PT02-02" xfId="874"/>
    <cellStyle name="_KT_TG_2_PT02-02_Book1" xfId="875"/>
    <cellStyle name="_KT_TG_2_PT02-03" xfId="876"/>
    <cellStyle name="_KT_TG_2_PT02-03_Book1" xfId="877"/>
    <cellStyle name="_KT_TG_2_phu luc tong ket tinh hinh TH giai doan 03-10 (ngay 30)" xfId="873"/>
    <cellStyle name="_KT_TG_2_Qt-HT3PQ1(CauKho)" xfId="878"/>
    <cellStyle name="_KT_TG_2_Sheet1" xfId="879"/>
    <cellStyle name="_KT_TG_2_TK152-04" xfId="880"/>
    <cellStyle name="_KT_TG_2_ÿÿÿÿÿ" xfId="881"/>
    <cellStyle name="_KT_TG_2_ÿÿÿÿÿ_Bieu mau cong trinh khoi cong moi 3-4" xfId="882"/>
    <cellStyle name="_KT_TG_2_ÿÿÿÿÿ_Bieu3ODA" xfId="883"/>
    <cellStyle name="_KT_TG_2_ÿÿÿÿÿ_Bieu4HTMT" xfId="884"/>
    <cellStyle name="_KT_TG_2_ÿÿÿÿÿ_kien giang 2" xfId="886"/>
    <cellStyle name="_KT_TG_2_ÿÿÿÿÿ_KH TPCP vung TNB (03-1-2012)" xfId="885"/>
    <cellStyle name="_KT_TG_3" xfId="887"/>
    <cellStyle name="_KT_TG_4" xfId="888"/>
    <cellStyle name="_KT_TG_4 2" xfId="889"/>
    <cellStyle name="_KT_TG_4_05-12  KH trung han 2016-2020 - Liem Thinh edited" xfId="890"/>
    <cellStyle name="_KT_TG_4_Copy of 05-12  KH trung han 2016-2020 - Liem Thinh edited (1)" xfId="891"/>
    <cellStyle name="_KT_TG_4_KH TPCP 2016-2020 (tong hop)" xfId="892"/>
    <cellStyle name="_KT_TG_4_Lora-tungchau" xfId="893"/>
    <cellStyle name="_KT_TG_4_Lora-tungchau 2" xfId="894"/>
    <cellStyle name="_KT_TG_4_Lora-tungchau_05-12  KH trung han 2016-2020 - Liem Thinh edited" xfId="895"/>
    <cellStyle name="_KT_TG_4_Lora-tungchau_Copy of 05-12  KH trung han 2016-2020 - Liem Thinh edited (1)" xfId="896"/>
    <cellStyle name="_KT_TG_4_Lora-tungchau_KH TPCP 2016-2020 (tong hop)" xfId="897"/>
    <cellStyle name="_KT_TG_4_Qt-HT3PQ1(CauKho)" xfId="898"/>
    <cellStyle name="_KH 2009" xfId="305"/>
    <cellStyle name="_KH 2009_15_10_2013 BC nhu cau von doi ung ODA (2014-2016) ngay 15102013 Sua" xfId="306"/>
    <cellStyle name="_KH 2009_BC nhu cau von doi ung ODA nganh NN (BKH)" xfId="307"/>
    <cellStyle name="_KH 2009_BC nhu cau von doi ung ODA nganh NN (BKH)_05-12  KH trung han 2016-2020 - Liem Thinh edited" xfId="308"/>
    <cellStyle name="_KH 2009_BC nhu cau von doi ung ODA nganh NN (BKH)_Copy of 05-12  KH trung han 2016-2020 - Liem Thinh edited (1)" xfId="309"/>
    <cellStyle name="_KH 2009_BC Tai co cau (bieu TH)" xfId="310"/>
    <cellStyle name="_KH 2009_BC Tai co cau (bieu TH)_05-12  KH trung han 2016-2020 - Liem Thinh edited" xfId="311"/>
    <cellStyle name="_KH 2009_BC Tai co cau (bieu TH)_Copy of 05-12  KH trung han 2016-2020 - Liem Thinh edited (1)" xfId="312"/>
    <cellStyle name="_KH 2009_DK 2014-2015 final" xfId="313"/>
    <cellStyle name="_KH 2009_DK 2014-2015 final_05-12  KH trung han 2016-2020 - Liem Thinh edited" xfId="314"/>
    <cellStyle name="_KH 2009_DK 2014-2015 final_Copy of 05-12  KH trung han 2016-2020 - Liem Thinh edited (1)" xfId="315"/>
    <cellStyle name="_KH 2009_DK 2014-2015 new" xfId="316"/>
    <cellStyle name="_KH 2009_DK 2014-2015 new_05-12  KH trung han 2016-2020 - Liem Thinh edited" xfId="317"/>
    <cellStyle name="_KH 2009_DK 2014-2015 new_Copy of 05-12  KH trung han 2016-2020 - Liem Thinh edited (1)" xfId="318"/>
    <cellStyle name="_KH 2009_DK KH CBDT 2014 11-11-2013" xfId="319"/>
    <cellStyle name="_KH 2009_DK KH CBDT 2014 11-11-2013(1)" xfId="320"/>
    <cellStyle name="_KH 2009_DK KH CBDT 2014 11-11-2013(1)_05-12  KH trung han 2016-2020 - Liem Thinh edited" xfId="321"/>
    <cellStyle name="_KH 2009_DK KH CBDT 2014 11-11-2013(1)_Copy of 05-12  KH trung han 2016-2020 - Liem Thinh edited (1)" xfId="322"/>
    <cellStyle name="_KH 2009_DK KH CBDT 2014 11-11-2013_05-12  KH trung han 2016-2020 - Liem Thinh edited" xfId="323"/>
    <cellStyle name="_KH 2009_DK KH CBDT 2014 11-11-2013_Copy of 05-12  KH trung han 2016-2020 - Liem Thinh edited (1)" xfId="324"/>
    <cellStyle name="_KH 2009_KH 2011-2015" xfId="325"/>
    <cellStyle name="_KH 2009_tai co cau dau tu (tong hop)1" xfId="326"/>
    <cellStyle name="_KH 2012 (TPCP) Bac Lieu (25-12-2011)" xfId="327"/>
    <cellStyle name="_Kh ql62 (2010) 11-09" xfId="328"/>
    <cellStyle name="_KH TPCP 2010 17-3-10" xfId="329"/>
    <cellStyle name="_KH TPCP vung TNB (03-1-2012)" xfId="330"/>
    <cellStyle name="_KH ung von cap bach 2009-Cuc NTTS de nghi (sua)" xfId="331"/>
    <cellStyle name="_Khung 2012" xfId="332"/>
    <cellStyle name="_Khung nam 2010" xfId="333"/>
    <cellStyle name="_Lora-tungchau" xfId="899"/>
    <cellStyle name="_Lora-tungchau 2" xfId="900"/>
    <cellStyle name="_Lora-tungchau_05-12  KH trung han 2016-2020 - Liem Thinh edited" xfId="901"/>
    <cellStyle name="_Lora-tungchau_Copy of 05-12  KH trung han 2016-2020 - Liem Thinh edited (1)" xfId="902"/>
    <cellStyle name="_Lora-tungchau_KH TPCP 2016-2020 (tong hop)" xfId="903"/>
    <cellStyle name="_Luy ke von ung nam 2011 -Thoa gui ngay 12-8-2012" xfId="904"/>
    <cellStyle name="_mau so 3" xfId="905"/>
    <cellStyle name="_MauThanTKKT-goi7-DonGia2143(vl t7)" xfId="906"/>
    <cellStyle name="_MauThanTKKT-goi7-DonGia2143(vl t7)_!1 1 bao cao giao KH ve HTCMT vung TNB   12-12-2011" xfId="907"/>
    <cellStyle name="_MauThanTKKT-goi7-DonGia2143(vl t7)_Bieu4HTMT" xfId="908"/>
    <cellStyle name="_MauThanTKKT-goi7-DonGia2143(vl t7)_Bieu4HTMT_!1 1 bao cao giao KH ve HTCMT vung TNB   12-12-2011" xfId="909"/>
    <cellStyle name="_MauThanTKKT-goi7-DonGia2143(vl t7)_Bieu4HTMT_KH TPCP vung TNB (03-1-2012)" xfId="910"/>
    <cellStyle name="_MauThanTKKT-goi7-DonGia2143(vl t7)_KH TPCP vung TNB (03-1-2012)" xfId="911"/>
    <cellStyle name="_N-X-T-04" xfId="918"/>
    <cellStyle name="_Nhu cau von ung truoc 2011 Tha h Hoa + Nge An gui TW" xfId="912"/>
    <cellStyle name="_Nhu cau von ung truoc 2011 Tha h Hoa + Nge An gui TW_!1 1 bao cao giao KH ve HTCMT vung TNB   12-12-2011" xfId="913"/>
    <cellStyle name="_Nhu cau von ung truoc 2011 Tha h Hoa + Nge An gui TW_Bieu4HTMT" xfId="914"/>
    <cellStyle name="_Nhu cau von ung truoc 2011 Tha h Hoa + Nge An gui TW_Bieu4HTMT_!1 1 bao cao giao KH ve HTCMT vung TNB   12-12-2011" xfId="915"/>
    <cellStyle name="_Nhu cau von ung truoc 2011 Tha h Hoa + Nge An gui TW_Bieu4HTMT_KH TPCP vung TNB (03-1-2012)" xfId="916"/>
    <cellStyle name="_Nhu cau von ung truoc 2011 Tha h Hoa + Nge An gui TW_KH TPCP vung TNB (03-1-2012)" xfId="917"/>
    <cellStyle name="_PERSONAL" xfId="919"/>
    <cellStyle name="_PERSONAL_BC CV 6403 BKHĐT" xfId="920"/>
    <cellStyle name="_PERSONAL_Bieu mau cong trinh khoi cong moi 3-4" xfId="921"/>
    <cellStyle name="_PERSONAL_Bieu3ODA" xfId="922"/>
    <cellStyle name="_PERSONAL_Bieu4HTMT" xfId="923"/>
    <cellStyle name="_PERSONAL_Book1" xfId="924"/>
    <cellStyle name="_PERSONAL_Book1 2" xfId="925"/>
    <cellStyle name="_PERSONAL_HTQ.8 GD1" xfId="926"/>
    <cellStyle name="_PERSONAL_HTQ.8 GD1_05-12  KH trung han 2016-2020 - Liem Thinh edited" xfId="927"/>
    <cellStyle name="_PERSONAL_HTQ.8 GD1_Copy of 05-12  KH trung han 2016-2020 - Liem Thinh edited (1)" xfId="928"/>
    <cellStyle name="_PERSONAL_HTQ.8 GD1_KH TPCP 2016-2020 (tong hop)" xfId="929"/>
    <cellStyle name="_PERSONAL_Luy ke von ung nam 2011 -Thoa gui ngay 12-8-2012" xfId="930"/>
    <cellStyle name="_PERSONAL_Tong hop KHCB 2001" xfId="931"/>
    <cellStyle name="_Phan bo KH 2009 TPCP" xfId="932"/>
    <cellStyle name="_phong bo mon22" xfId="933"/>
    <cellStyle name="_phong bo mon22_!1 1 bao cao giao KH ve HTCMT vung TNB   12-12-2011" xfId="934"/>
    <cellStyle name="_phong bo mon22_KH TPCP vung TNB (03-1-2012)" xfId="935"/>
    <cellStyle name="_Phu luc 2 (Bieu 2) TH KH 2010" xfId="936"/>
    <cellStyle name="_phu luc tong ket tinh hinh TH giai doan 03-10 (ngay 30)" xfId="937"/>
    <cellStyle name="_Phuluckinhphi_DC_lan 4_YL" xfId="938"/>
    <cellStyle name="_Q TOAN  SCTX QL.62 QUI I ( oanh)" xfId="939"/>
    <cellStyle name="_Q TOAN  SCTX QL.62 QUI II ( oanh)" xfId="940"/>
    <cellStyle name="_QT SCTXQL62_QT1 (Cty QL)" xfId="941"/>
    <cellStyle name="_Qt-HT3PQ1(CauKho)" xfId="942"/>
    <cellStyle name="_Sheet1" xfId="943"/>
    <cellStyle name="_Sheet2" xfId="944"/>
    <cellStyle name="_TG-TH" xfId="945"/>
    <cellStyle name="_TG-TH_1" xfId="946"/>
    <cellStyle name="_TG-TH_1 2" xfId="947"/>
    <cellStyle name="_TG-TH_1_05-12  KH trung han 2016-2020 - Liem Thinh edited" xfId="948"/>
    <cellStyle name="_TG-TH_1_ApGiaVatTu_cayxanh_latgach" xfId="949"/>
    <cellStyle name="_TG-TH_1_BANG TONG HOP TINH HINH THANH QUYET TOAN (MOI I)" xfId="950"/>
    <cellStyle name="_TG-TH_1_BAO CAO KLCT PT2000" xfId="951"/>
    <cellStyle name="_TG-TH_1_BAO CAO PT2000" xfId="952"/>
    <cellStyle name="_TG-TH_1_BAO CAO PT2000_Book1" xfId="953"/>
    <cellStyle name="_TG-TH_1_Bao cao XDCB 2001 - T11 KH dieu chinh 20-11-THAI" xfId="954"/>
    <cellStyle name="_TG-TH_1_BAO GIA NGAY 24-10-08 (co dam)" xfId="955"/>
    <cellStyle name="_TG-TH_1_BC  NAM 2007" xfId="956"/>
    <cellStyle name="_TG-TH_1_BC CV 6403 BKHĐT" xfId="957"/>
    <cellStyle name="_TG-TH_1_BC NQ11-CP - chinh sua lai" xfId="958"/>
    <cellStyle name="_TG-TH_1_BC NQ11-CP-Quynh sau bieu so3" xfId="959"/>
    <cellStyle name="_TG-TH_1_BC_NQ11-CP_-_Thao_sua_lai" xfId="960"/>
    <cellStyle name="_TG-TH_1_Bieu mau cong trinh khoi cong moi 3-4" xfId="961"/>
    <cellStyle name="_TG-TH_1_Bieu3ODA" xfId="962"/>
    <cellStyle name="_TG-TH_1_Bieu3ODA_1" xfId="963"/>
    <cellStyle name="_TG-TH_1_Bieu4HTMT" xfId="964"/>
    <cellStyle name="_TG-TH_1_bo sung von KCH nam 2010 va Du an tre kho khan" xfId="965"/>
    <cellStyle name="_TG-TH_1_Book1" xfId="966"/>
    <cellStyle name="_TG-TH_1_Book1 2" xfId="967"/>
    <cellStyle name="_TG-TH_1_Book1_1" xfId="968"/>
    <cellStyle name="_TG-TH_1_Book1_1 2" xfId="969"/>
    <cellStyle name="_TG-TH_1_Book1_1_BC CV 6403 BKHĐT" xfId="970"/>
    <cellStyle name="_TG-TH_1_Book1_1_Bieu mau cong trinh khoi cong moi 3-4" xfId="971"/>
    <cellStyle name="_TG-TH_1_Book1_1_Bieu3ODA" xfId="972"/>
    <cellStyle name="_TG-TH_1_Book1_1_Bieu4HTMT" xfId="973"/>
    <cellStyle name="_TG-TH_1_Book1_1_Book1" xfId="974"/>
    <cellStyle name="_TG-TH_1_Book1_1_Luy ke von ung nam 2011 -Thoa gui ngay 12-8-2012" xfId="975"/>
    <cellStyle name="_TG-TH_1_Book1_2" xfId="976"/>
    <cellStyle name="_TG-TH_1_Book1_2 2" xfId="977"/>
    <cellStyle name="_TG-TH_1_Book1_2_BC CV 6403 BKHĐT" xfId="978"/>
    <cellStyle name="_TG-TH_1_Book1_2_Bieu3ODA" xfId="979"/>
    <cellStyle name="_TG-TH_1_Book1_2_Luy ke von ung nam 2011 -Thoa gui ngay 12-8-2012" xfId="980"/>
    <cellStyle name="_TG-TH_1_Book1_3" xfId="981"/>
    <cellStyle name="_TG-TH_1_Book1_BC CV 6403 BKHĐT" xfId="982"/>
    <cellStyle name="_TG-TH_1_Book1_BC-QT-WB-dthao" xfId="983"/>
    <cellStyle name="_TG-TH_1_Book1_Bieu mau cong trinh khoi cong moi 3-4" xfId="984"/>
    <cellStyle name="_TG-TH_1_Book1_Bieu3ODA" xfId="985"/>
    <cellStyle name="_TG-TH_1_Book1_Bieu4HTMT" xfId="986"/>
    <cellStyle name="_TG-TH_1_Book1_bo sung von KCH nam 2010 va Du an tre kho khan" xfId="987"/>
    <cellStyle name="_TG-TH_1_Book1_Book1" xfId="988"/>
    <cellStyle name="_TG-TH_1_Book1_danh muc chuan bi dau tu 2011 ngay 07-6-2011" xfId="989"/>
    <cellStyle name="_TG-TH_1_Book1_Danh muc pbo nguon von XSKT, XDCB nam 2009 chuyen qua nam 2010" xfId="990"/>
    <cellStyle name="_TG-TH_1_Book1_dieu chinh KH 2011 ngay 26-5-2011111" xfId="991"/>
    <cellStyle name="_TG-TH_1_Book1_DS KCH PHAN BO VON NSDP NAM 2010" xfId="992"/>
    <cellStyle name="_TG-TH_1_Book1_giao KH 2011 ngay 10-12-2010" xfId="993"/>
    <cellStyle name="_TG-TH_1_Book1_Luy ke von ung nam 2011 -Thoa gui ngay 12-8-2012" xfId="994"/>
    <cellStyle name="_TG-TH_1_CAU Khanh Nam(Thi Cong)" xfId="995"/>
    <cellStyle name="_TG-TH_1_CoCauPhi (version 1)" xfId="997"/>
    <cellStyle name="_TG-TH_1_Copy of 05-12  KH trung han 2016-2020 - Liem Thinh edited (1)" xfId="998"/>
    <cellStyle name="_TG-TH_1_ChiHuong_ApGia" xfId="996"/>
    <cellStyle name="_TG-TH_1_danh muc chuan bi dau tu 2011 ngay 07-6-2011" xfId="999"/>
    <cellStyle name="_TG-TH_1_Danh muc pbo nguon von XSKT, XDCB nam 2009 chuyen qua nam 2010" xfId="1000"/>
    <cellStyle name="_TG-TH_1_DAU NOI PL-CL TAI PHU LAMHC" xfId="1001"/>
    <cellStyle name="_TG-TH_1_dieu chinh KH 2011 ngay 26-5-2011111" xfId="1002"/>
    <cellStyle name="_TG-TH_1_DS KCH PHAN BO VON NSDP NAM 2010" xfId="1003"/>
    <cellStyle name="_TG-TH_1_DTCDT MR.2N110.HOCMON.TDTOAN.CCUNG" xfId="1004"/>
    <cellStyle name="_TG-TH_1_DU TRU VAT TU" xfId="1005"/>
    <cellStyle name="_TG-TH_1_GTGT 2003" xfId="1007"/>
    <cellStyle name="_TG-TH_1_giao KH 2011 ngay 10-12-2010" xfId="1006"/>
    <cellStyle name="_TG-TH_1_KE KHAI THUE GTGT 2004" xfId="1008"/>
    <cellStyle name="_TG-TH_1_KE KHAI THUE GTGT 2004_BCTC2004" xfId="1009"/>
    <cellStyle name="_TG-TH_1_kien giang 2" xfId="1012"/>
    <cellStyle name="_TG-TH_1_KH TPCP 2016-2020 (tong hop)" xfId="1010"/>
    <cellStyle name="_TG-TH_1_KH TPCP vung TNB (03-1-2012)" xfId="1011"/>
    <cellStyle name="_TG-TH_1_Lora-tungchau" xfId="1013"/>
    <cellStyle name="_TG-TH_1_Luy ke von ung nam 2011 -Thoa gui ngay 12-8-2012" xfId="1014"/>
    <cellStyle name="_TG-TH_1_N-X-T-04" xfId="1016"/>
    <cellStyle name="_TG-TH_1_NhanCong" xfId="1015"/>
    <cellStyle name="_TG-TH_1_PGIA-phieu tham tra Kho bac" xfId="1017"/>
    <cellStyle name="_TG-TH_1_PT02-02" xfId="1019"/>
    <cellStyle name="_TG-TH_1_PT02-02_Book1" xfId="1020"/>
    <cellStyle name="_TG-TH_1_PT02-03" xfId="1021"/>
    <cellStyle name="_TG-TH_1_PT02-03_Book1" xfId="1022"/>
    <cellStyle name="_TG-TH_1_phu luc tong ket tinh hinh TH giai doan 03-10 (ngay 30)" xfId="1018"/>
    <cellStyle name="_TG-TH_1_Qt-HT3PQ1(CauKho)" xfId="1023"/>
    <cellStyle name="_TG-TH_1_Sheet1" xfId="1024"/>
    <cellStyle name="_TG-TH_1_TK152-04" xfId="1025"/>
    <cellStyle name="_TG-TH_1_ÿÿÿÿÿ" xfId="1026"/>
    <cellStyle name="_TG-TH_1_ÿÿÿÿÿ_Bieu mau cong trinh khoi cong moi 3-4" xfId="1027"/>
    <cellStyle name="_TG-TH_1_ÿÿÿÿÿ_Bieu3ODA" xfId="1028"/>
    <cellStyle name="_TG-TH_1_ÿÿÿÿÿ_Bieu4HTMT" xfId="1029"/>
    <cellStyle name="_TG-TH_1_ÿÿÿÿÿ_kien giang 2" xfId="1031"/>
    <cellStyle name="_TG-TH_1_ÿÿÿÿÿ_KH TPCP vung TNB (03-1-2012)" xfId="1030"/>
    <cellStyle name="_TG-TH_2" xfId="1032"/>
    <cellStyle name="_TG-TH_2 2" xfId="1033"/>
    <cellStyle name="_TG-TH_2_05-12  KH trung han 2016-2020 - Liem Thinh edited" xfId="1034"/>
    <cellStyle name="_TG-TH_2_ApGiaVatTu_cayxanh_latgach" xfId="1035"/>
    <cellStyle name="_TG-TH_2_BANG TONG HOP TINH HINH THANH QUYET TOAN (MOI I)" xfId="1036"/>
    <cellStyle name="_TG-TH_2_BAO CAO KLCT PT2000" xfId="1037"/>
    <cellStyle name="_TG-TH_2_BAO CAO PT2000" xfId="1038"/>
    <cellStyle name="_TG-TH_2_BAO CAO PT2000_Book1" xfId="1039"/>
    <cellStyle name="_TG-TH_2_Bao cao XDCB 2001 - T11 KH dieu chinh 20-11-THAI" xfId="1040"/>
    <cellStyle name="_TG-TH_2_BAO GIA NGAY 24-10-08 (co dam)" xfId="1041"/>
    <cellStyle name="_TG-TH_2_BC  NAM 2007" xfId="1042"/>
    <cellStyle name="_TG-TH_2_BC CV 6403 BKHĐT" xfId="1043"/>
    <cellStyle name="_TG-TH_2_BC NQ11-CP - chinh sua lai" xfId="1044"/>
    <cellStyle name="_TG-TH_2_BC NQ11-CP-Quynh sau bieu so3" xfId="1045"/>
    <cellStyle name="_TG-TH_2_BC_NQ11-CP_-_Thao_sua_lai" xfId="1046"/>
    <cellStyle name="_TG-TH_2_Bieu mau cong trinh khoi cong moi 3-4" xfId="1047"/>
    <cellStyle name="_TG-TH_2_Bieu3ODA" xfId="1048"/>
    <cellStyle name="_TG-TH_2_Bieu3ODA_1" xfId="1049"/>
    <cellStyle name="_TG-TH_2_Bieu4HTMT" xfId="1050"/>
    <cellStyle name="_TG-TH_2_bo sung von KCH nam 2010 va Du an tre kho khan" xfId="1051"/>
    <cellStyle name="_TG-TH_2_Book1" xfId="1052"/>
    <cellStyle name="_TG-TH_2_Book1 2" xfId="1053"/>
    <cellStyle name="_TG-TH_2_Book1_1" xfId="1054"/>
    <cellStyle name="_TG-TH_2_Book1_1 2" xfId="1055"/>
    <cellStyle name="_TG-TH_2_Book1_1_BC CV 6403 BKHĐT" xfId="1056"/>
    <cellStyle name="_TG-TH_2_Book1_1_Bieu mau cong trinh khoi cong moi 3-4" xfId="1057"/>
    <cellStyle name="_TG-TH_2_Book1_1_Bieu3ODA" xfId="1058"/>
    <cellStyle name="_TG-TH_2_Book1_1_Bieu4HTMT" xfId="1059"/>
    <cellStyle name="_TG-TH_2_Book1_1_Book1" xfId="1060"/>
    <cellStyle name="_TG-TH_2_Book1_1_Luy ke von ung nam 2011 -Thoa gui ngay 12-8-2012" xfId="1061"/>
    <cellStyle name="_TG-TH_2_Book1_2" xfId="1062"/>
    <cellStyle name="_TG-TH_2_Book1_2 2" xfId="1063"/>
    <cellStyle name="_TG-TH_2_Book1_2_BC CV 6403 BKHĐT" xfId="1064"/>
    <cellStyle name="_TG-TH_2_Book1_2_Bieu3ODA" xfId="1065"/>
    <cellStyle name="_TG-TH_2_Book1_2_Luy ke von ung nam 2011 -Thoa gui ngay 12-8-2012" xfId="1066"/>
    <cellStyle name="_TG-TH_2_Book1_3" xfId="1067"/>
    <cellStyle name="_TG-TH_2_Book1_3 2" xfId="1068"/>
    <cellStyle name="_TG-TH_2_Book1_BC CV 6403 BKHĐT" xfId="1069"/>
    <cellStyle name="_TG-TH_2_Book1_Bieu mau cong trinh khoi cong moi 3-4" xfId="1070"/>
    <cellStyle name="_TG-TH_2_Book1_Bieu3ODA" xfId="1071"/>
    <cellStyle name="_TG-TH_2_Book1_Bieu4HTMT" xfId="1072"/>
    <cellStyle name="_TG-TH_2_Book1_bo sung von KCH nam 2010 va Du an tre kho khan" xfId="1073"/>
    <cellStyle name="_TG-TH_2_Book1_Book1" xfId="1074"/>
    <cellStyle name="_TG-TH_2_Book1_danh muc chuan bi dau tu 2011 ngay 07-6-2011" xfId="1075"/>
    <cellStyle name="_TG-TH_2_Book1_Danh muc pbo nguon von XSKT, XDCB nam 2009 chuyen qua nam 2010" xfId="1076"/>
    <cellStyle name="_TG-TH_2_Book1_dieu chinh KH 2011 ngay 26-5-2011111" xfId="1077"/>
    <cellStyle name="_TG-TH_2_Book1_DS KCH PHAN BO VON NSDP NAM 2010" xfId="1078"/>
    <cellStyle name="_TG-TH_2_Book1_giao KH 2011 ngay 10-12-2010" xfId="1079"/>
    <cellStyle name="_TG-TH_2_Book1_Luy ke von ung nam 2011 -Thoa gui ngay 12-8-2012" xfId="1080"/>
    <cellStyle name="_TG-TH_2_CAU Khanh Nam(Thi Cong)" xfId="1081"/>
    <cellStyle name="_TG-TH_2_CoCauPhi (version 1)" xfId="1083"/>
    <cellStyle name="_TG-TH_2_Copy of 05-12  KH trung han 2016-2020 - Liem Thinh edited (1)" xfId="1084"/>
    <cellStyle name="_TG-TH_2_ChiHuong_ApGia" xfId="1082"/>
    <cellStyle name="_TG-TH_2_danh muc chuan bi dau tu 2011 ngay 07-6-2011" xfId="1085"/>
    <cellStyle name="_TG-TH_2_Danh muc pbo nguon von XSKT, XDCB nam 2009 chuyen qua nam 2010" xfId="1086"/>
    <cellStyle name="_TG-TH_2_DAU NOI PL-CL TAI PHU LAMHC" xfId="1087"/>
    <cellStyle name="_TG-TH_2_dieu chinh KH 2011 ngay 26-5-2011111" xfId="1088"/>
    <cellStyle name="_TG-TH_2_DS KCH PHAN BO VON NSDP NAM 2010" xfId="1089"/>
    <cellStyle name="_TG-TH_2_DTCDT MR.2N110.HOCMON.TDTOAN.CCUNG" xfId="1090"/>
    <cellStyle name="_TG-TH_2_DU TRU VAT TU" xfId="1091"/>
    <cellStyle name="_TG-TH_2_GTGT 2003" xfId="1093"/>
    <cellStyle name="_TG-TH_2_giao KH 2011 ngay 10-12-2010" xfId="1092"/>
    <cellStyle name="_TG-TH_2_KE KHAI THUE GTGT 2004" xfId="1094"/>
    <cellStyle name="_TG-TH_2_KE KHAI THUE GTGT 2004_BCTC2004" xfId="1095"/>
    <cellStyle name="_TG-TH_2_kien giang 2" xfId="1098"/>
    <cellStyle name="_TG-TH_2_KH TPCP 2016-2020 (tong hop)" xfId="1096"/>
    <cellStyle name="_TG-TH_2_KH TPCP vung TNB (03-1-2012)" xfId="1097"/>
    <cellStyle name="_TG-TH_2_Lora-tungchau" xfId="1099"/>
    <cellStyle name="_TG-TH_2_Luy ke von ung nam 2011 -Thoa gui ngay 12-8-2012" xfId="1100"/>
    <cellStyle name="_TG-TH_2_N-X-T-04" xfId="1102"/>
    <cellStyle name="_TG-TH_2_NhanCong" xfId="1101"/>
    <cellStyle name="_TG-TH_2_PGIA-phieu tham tra Kho bac" xfId="1103"/>
    <cellStyle name="_TG-TH_2_PT02-02" xfId="1105"/>
    <cellStyle name="_TG-TH_2_PT02-02_Book1" xfId="1106"/>
    <cellStyle name="_TG-TH_2_PT02-03" xfId="1107"/>
    <cellStyle name="_TG-TH_2_PT02-03_Book1" xfId="1108"/>
    <cellStyle name="_TG-TH_2_phu luc tong ket tinh hinh TH giai doan 03-10 (ngay 30)" xfId="1104"/>
    <cellStyle name="_TG-TH_2_Qt-HT3PQ1(CauKho)" xfId="1109"/>
    <cellStyle name="_TG-TH_2_Sheet1" xfId="1110"/>
    <cellStyle name="_TG-TH_2_TK152-04" xfId="1111"/>
    <cellStyle name="_TG-TH_2_ÿÿÿÿÿ" xfId="1112"/>
    <cellStyle name="_TG-TH_2_ÿÿÿÿÿ_Bieu mau cong trinh khoi cong moi 3-4" xfId="1113"/>
    <cellStyle name="_TG-TH_2_ÿÿÿÿÿ_Bieu3ODA" xfId="1114"/>
    <cellStyle name="_TG-TH_2_ÿÿÿÿÿ_Bieu4HTMT" xfId="1115"/>
    <cellStyle name="_TG-TH_2_ÿÿÿÿÿ_kien giang 2" xfId="1117"/>
    <cellStyle name="_TG-TH_2_ÿÿÿÿÿ_KH TPCP vung TNB (03-1-2012)" xfId="1116"/>
    <cellStyle name="_TG-TH_3" xfId="1118"/>
    <cellStyle name="_TG-TH_3 2" xfId="1119"/>
    <cellStyle name="_TG-TH_3_05-12  KH trung han 2016-2020 - Liem Thinh edited" xfId="1120"/>
    <cellStyle name="_TG-TH_3_Copy of 05-12  KH trung han 2016-2020 - Liem Thinh edited (1)" xfId="1121"/>
    <cellStyle name="_TG-TH_3_KH TPCP 2016-2020 (tong hop)" xfId="1122"/>
    <cellStyle name="_TG-TH_3_Lora-tungchau" xfId="1123"/>
    <cellStyle name="_TG-TH_3_Lora-tungchau 2" xfId="1124"/>
    <cellStyle name="_TG-TH_3_Lora-tungchau_05-12  KH trung han 2016-2020 - Liem Thinh edited" xfId="1125"/>
    <cellStyle name="_TG-TH_3_Lora-tungchau_Copy of 05-12  KH trung han 2016-2020 - Liem Thinh edited (1)" xfId="1126"/>
    <cellStyle name="_TG-TH_3_Lora-tungchau_KH TPCP 2016-2020 (tong hop)" xfId="1127"/>
    <cellStyle name="_TG-TH_3_Qt-HT3PQ1(CauKho)" xfId="1128"/>
    <cellStyle name="_TG-TH_4" xfId="1129"/>
    <cellStyle name="_TK152-04" xfId="1131"/>
    <cellStyle name="_Tong dutoan PP LAHAI" xfId="1132"/>
    <cellStyle name="_TPCP GT-24-5-Mien Nui" xfId="1133"/>
    <cellStyle name="_TPCP GT-24-5-Mien Nui_!1 1 bao cao giao KH ve HTCMT vung TNB   12-12-2011" xfId="1134"/>
    <cellStyle name="_TPCP GT-24-5-Mien Nui_Bieu4HTMT" xfId="1135"/>
    <cellStyle name="_TPCP GT-24-5-Mien Nui_Bieu4HTMT_!1 1 bao cao giao KH ve HTCMT vung TNB   12-12-2011" xfId="1136"/>
    <cellStyle name="_TPCP GT-24-5-Mien Nui_Bieu4HTMT_KH TPCP vung TNB (03-1-2012)" xfId="1137"/>
    <cellStyle name="_TPCP GT-24-5-Mien Nui_KH TPCP vung TNB (03-1-2012)" xfId="1138"/>
    <cellStyle name="_TH KH 2010" xfId="1130"/>
    <cellStyle name="_ung truoc 2011 NSTW Thanh Hoa + Nge An gui Thu 12-5" xfId="1139"/>
    <cellStyle name="_ung truoc 2011 NSTW Thanh Hoa + Nge An gui Thu 12-5_!1 1 bao cao giao KH ve HTCMT vung TNB   12-12-2011" xfId="1140"/>
    <cellStyle name="_ung truoc 2011 NSTW Thanh Hoa + Nge An gui Thu 12-5_Bieu4HTMT" xfId="1141"/>
    <cellStyle name="_ung truoc 2011 NSTW Thanh Hoa + Nge An gui Thu 12-5_Bieu4HTMT_!1 1 bao cao giao KH ve HTCMT vung TNB   12-12-2011" xfId="1142"/>
    <cellStyle name="_ung truoc 2011 NSTW Thanh Hoa + Nge An gui Thu 12-5_Bieu4HTMT_KH TPCP vung TNB (03-1-2012)" xfId="1143"/>
    <cellStyle name="_ung truoc 2011 NSTW Thanh Hoa + Nge An gui Thu 12-5_KH TPCP vung TNB (03-1-2012)" xfId="1144"/>
    <cellStyle name="_ung truoc cua long an (6-5-2010)" xfId="1145"/>
    <cellStyle name="_Ung von nam 2011 vung TNB - Doan Cong tac (12-5-2010)" xfId="1146"/>
    <cellStyle name="_Ung von nam 2011 vung TNB - Doan Cong tac (12-5-2010)_!1 1 bao cao giao KH ve HTCMT vung TNB   12-12-2011" xfId="1147"/>
    <cellStyle name="_Ung von nam 2011 vung TNB - Doan Cong tac (12-5-2010)_Bieu4HTMT" xfId="1148"/>
    <cellStyle name="_Ung von nam 2011 vung TNB - Doan Cong tac (12-5-2010)_Bieu4HTMT_!1 1 bao cao giao KH ve HTCMT vung TNB   12-12-2011" xfId="1149"/>
    <cellStyle name="_Ung von nam 2011 vung TNB - Doan Cong tac (12-5-2010)_Bieu4HTMT_KH TPCP vung TNB (03-1-2012)" xfId="1150"/>
    <cellStyle name="_Ung von nam 2011 vung TNB - Doan Cong tac (12-5-2010)_Cong trinh co y kien LD_Dang_NN_2011-Tay nguyen-9-10" xfId="1152"/>
    <cellStyle name="_Ung von nam 2011 vung TNB - Doan Cong tac (12-5-2010)_Cong trinh co y kien LD_Dang_NN_2011-Tay nguyen-9-10_!1 1 bao cao giao KH ve HTCMT vung TNB   12-12-2011" xfId="1153"/>
    <cellStyle name="_Ung von nam 2011 vung TNB - Doan Cong tac (12-5-2010)_Cong trinh co y kien LD_Dang_NN_2011-Tay nguyen-9-10_Bieu4HTMT" xfId="1154"/>
    <cellStyle name="_Ung von nam 2011 vung TNB - Doan Cong tac (12-5-2010)_Cong trinh co y kien LD_Dang_NN_2011-Tay nguyen-9-10_Bieu4HTMT_!1 1 bao cao giao KH ve HTCMT vung TNB   12-12-2011" xfId="1155"/>
    <cellStyle name="_Ung von nam 2011 vung TNB - Doan Cong tac (12-5-2010)_Cong trinh co y kien LD_Dang_NN_2011-Tay nguyen-9-10_Bieu4HTMT_KH TPCP vung TNB (03-1-2012)" xfId="1156"/>
    <cellStyle name="_Ung von nam 2011 vung TNB - Doan Cong tac (12-5-2010)_Cong trinh co y kien LD_Dang_NN_2011-Tay nguyen-9-10_KH TPCP vung TNB (03-1-2012)" xfId="1157"/>
    <cellStyle name="_Ung von nam 2011 vung TNB - Doan Cong tac (12-5-2010)_Chuẩn bị đầu tư 2011 (sep Hung)_KH 2012 (T3-2013)" xfId="1151"/>
    <cellStyle name="_Ung von nam 2011 vung TNB - Doan Cong tac (12-5-2010)_KH TPCP vung TNB (03-1-2012)" xfId="1158"/>
    <cellStyle name="_Ung von nam 2011 vung TNB - Doan Cong tac (12-5-2010)_TN - Ho tro khac 2011" xfId="1159"/>
    <cellStyle name="_Ung von nam 2011 vung TNB - Doan Cong tac (12-5-2010)_TN - Ho tro khac 2011_!1 1 bao cao giao KH ve HTCMT vung TNB   12-12-2011" xfId="1160"/>
    <cellStyle name="_Ung von nam 2011 vung TNB - Doan Cong tac (12-5-2010)_TN - Ho tro khac 2011_Bieu4HTMT" xfId="1161"/>
    <cellStyle name="_Ung von nam 2011 vung TNB - Doan Cong tac (12-5-2010)_TN - Ho tro khac 2011_Bieu4HTMT_!1 1 bao cao giao KH ve HTCMT vung TNB   12-12-2011" xfId="1162"/>
    <cellStyle name="_Ung von nam 2011 vung TNB - Doan Cong tac (12-5-2010)_TN - Ho tro khac 2011_Bieu4HTMT_KH TPCP vung TNB (03-1-2012)" xfId="1163"/>
    <cellStyle name="_Ung von nam 2011 vung TNB - Doan Cong tac (12-5-2010)_TN - Ho tro khac 2011_KH TPCP vung TNB (03-1-2012)" xfId="1164"/>
    <cellStyle name="_Von dau tu 2006-2020 (TL chien luoc)" xfId="1165"/>
    <cellStyle name="_Von dau tu 2006-2020 (TL chien luoc)_15_10_2013 BC nhu cau von doi ung ODA (2014-2016) ngay 15102013 Sua" xfId="1166"/>
    <cellStyle name="_Von dau tu 2006-2020 (TL chien luoc)_BC nhu cau von doi ung ODA nganh NN (BKH)" xfId="1167"/>
    <cellStyle name="_Von dau tu 2006-2020 (TL chien luoc)_BC nhu cau von doi ung ODA nganh NN (BKH)_05-12  KH trung han 2016-2020 - Liem Thinh edited" xfId="1168"/>
    <cellStyle name="_Von dau tu 2006-2020 (TL chien luoc)_BC nhu cau von doi ung ODA nganh NN (BKH)_Copy of 05-12  KH trung han 2016-2020 - Liem Thinh edited (1)" xfId="1169"/>
    <cellStyle name="_Von dau tu 2006-2020 (TL chien luoc)_BC Tai co cau (bieu TH)" xfId="1170"/>
    <cellStyle name="_Von dau tu 2006-2020 (TL chien luoc)_BC Tai co cau (bieu TH)_05-12  KH trung han 2016-2020 - Liem Thinh edited" xfId="1171"/>
    <cellStyle name="_Von dau tu 2006-2020 (TL chien luoc)_BC Tai co cau (bieu TH)_Copy of 05-12  KH trung han 2016-2020 - Liem Thinh edited (1)" xfId="1172"/>
    <cellStyle name="_Von dau tu 2006-2020 (TL chien luoc)_DK 2014-2015 final" xfId="1173"/>
    <cellStyle name="_Von dau tu 2006-2020 (TL chien luoc)_DK 2014-2015 final_05-12  KH trung han 2016-2020 - Liem Thinh edited" xfId="1174"/>
    <cellStyle name="_Von dau tu 2006-2020 (TL chien luoc)_DK 2014-2015 final_Copy of 05-12  KH trung han 2016-2020 - Liem Thinh edited (1)" xfId="1175"/>
    <cellStyle name="_Von dau tu 2006-2020 (TL chien luoc)_DK 2014-2015 new" xfId="1176"/>
    <cellStyle name="_Von dau tu 2006-2020 (TL chien luoc)_DK 2014-2015 new_05-12  KH trung han 2016-2020 - Liem Thinh edited" xfId="1177"/>
    <cellStyle name="_Von dau tu 2006-2020 (TL chien luoc)_DK 2014-2015 new_Copy of 05-12  KH trung han 2016-2020 - Liem Thinh edited (1)" xfId="1178"/>
    <cellStyle name="_Von dau tu 2006-2020 (TL chien luoc)_DK KH CBDT 2014 11-11-2013" xfId="1179"/>
    <cellStyle name="_Von dau tu 2006-2020 (TL chien luoc)_DK KH CBDT 2014 11-11-2013(1)" xfId="1180"/>
    <cellStyle name="_Von dau tu 2006-2020 (TL chien luoc)_DK KH CBDT 2014 11-11-2013(1)_05-12  KH trung han 2016-2020 - Liem Thinh edited" xfId="1181"/>
    <cellStyle name="_Von dau tu 2006-2020 (TL chien luoc)_DK KH CBDT 2014 11-11-2013(1)_Copy of 05-12  KH trung han 2016-2020 - Liem Thinh edited (1)" xfId="1182"/>
    <cellStyle name="_Von dau tu 2006-2020 (TL chien luoc)_DK KH CBDT 2014 11-11-2013_05-12  KH trung han 2016-2020 - Liem Thinh edited" xfId="1183"/>
    <cellStyle name="_Von dau tu 2006-2020 (TL chien luoc)_DK KH CBDT 2014 11-11-2013_Copy of 05-12  KH trung han 2016-2020 - Liem Thinh edited (1)" xfId="1184"/>
    <cellStyle name="_Von dau tu 2006-2020 (TL chien luoc)_KH 2011-2015" xfId="1185"/>
    <cellStyle name="_Von dau tu 2006-2020 (TL chien luoc)_tai co cau dau tu (tong hop)1" xfId="1186"/>
    <cellStyle name="_x005f_x0001_" xfId="1187"/>
    <cellStyle name="_x005f_x0001__!1 1 bao cao giao KH ve HTCMT vung TNB   12-12-2011" xfId="1188"/>
    <cellStyle name="_x005f_x0001__kien giang 2" xfId="1189"/>
    <cellStyle name="_x005f_x000d__x005f_x000a_JournalTemplate=C:\COMFO\CTALK\JOURSTD.TPL_x005f_x000d__x005f_x000a_LbStateAddress=3 3 0 251 1 89 2 311_x005f_x000d__x005f_x000a_LbStateJou" xfId="1190"/>
    <cellStyle name="_x005f_x005f_x005f_x0001_" xfId="1191"/>
    <cellStyle name="_x005f_x005f_x005f_x0001__!1 1 bao cao giao KH ve HTCMT vung TNB   12-12-2011" xfId="1192"/>
    <cellStyle name="_x005f_x005f_x005f_x0001__kien giang 2" xfId="1193"/>
    <cellStyle name="_x005f_x005f_x005f_x000d__x005f_x005f_x005f_x000a_JournalTemplate=C:\COMFO\CTALK\JOURSTD.TPL_x005f_x005f_x005f_x000d__x005f_x005f_x005f_x000a_LbStateAddress=3 3 0 251 1 89 2 311_x005f_x005f_x005f_x000d__x005f_x005f_x005f_x000a_LbStateJou" xfId="1194"/>
    <cellStyle name="_XDCB thang 12.2010" xfId="1195"/>
    <cellStyle name="_ÿÿÿÿÿ" xfId="1196"/>
    <cellStyle name="_ÿÿÿÿÿ_Bieu mau cong trinh khoi cong moi 3-4" xfId="1197"/>
    <cellStyle name="_ÿÿÿÿÿ_Bieu mau cong trinh khoi cong moi 3-4_!1 1 bao cao giao KH ve HTCMT vung TNB   12-12-2011" xfId="1198"/>
    <cellStyle name="_ÿÿÿÿÿ_Bieu mau cong trinh khoi cong moi 3-4_KH TPCP vung TNB (03-1-2012)" xfId="1199"/>
    <cellStyle name="_ÿÿÿÿÿ_Bieu3ODA" xfId="1200"/>
    <cellStyle name="_ÿÿÿÿÿ_Bieu3ODA_!1 1 bao cao giao KH ve HTCMT vung TNB   12-12-2011" xfId="1201"/>
    <cellStyle name="_ÿÿÿÿÿ_Bieu3ODA_KH TPCP vung TNB (03-1-2012)" xfId="1202"/>
    <cellStyle name="_ÿÿÿÿÿ_Bieu4HTMT" xfId="1203"/>
    <cellStyle name="_ÿÿÿÿÿ_Bieu4HTMT_!1 1 bao cao giao KH ve HTCMT vung TNB   12-12-2011" xfId="1204"/>
    <cellStyle name="_ÿÿÿÿÿ_Bieu4HTMT_KH TPCP vung TNB (03-1-2012)" xfId="1205"/>
    <cellStyle name="_ÿÿÿÿÿ_kien giang 2" xfId="1209"/>
    <cellStyle name="_ÿÿÿÿÿ_Kh ql62 (2010) 11-09" xfId="1206"/>
    <cellStyle name="_ÿÿÿÿÿ_KH TPCP vung TNB (03-1-2012)" xfId="1207"/>
    <cellStyle name="_ÿÿÿÿÿ_Khung 2012" xfId="1208"/>
    <cellStyle name="~1" xfId="1210"/>
    <cellStyle name="’Ê‰Ý [0.00]_laroux" xfId="1211"/>
    <cellStyle name="’Ê‰Ý_laroux" xfId="1212"/>
    <cellStyle name="¤@¯ë_CHI PHI QUAN LY 1-00" xfId="1213"/>
    <cellStyle name="•W?_Format" xfId="1214"/>
    <cellStyle name="•W€_’·Šú‰p•¶" xfId="1215"/>
    <cellStyle name="•W_’·Šú‰p•¶" xfId="1216"/>
    <cellStyle name="W_MARINE" xfId="1217"/>
    <cellStyle name="0" xfId="1218"/>
    <cellStyle name="0 2" xfId="1219"/>
    <cellStyle name="0,0_x000a__x000a_NA_x000a__x000a_" xfId="1220"/>
    <cellStyle name="0,0_x000d__x000a_NA_x000d__x000a_" xfId="1221"/>
    <cellStyle name="0,0_x000d__x000a_NA_x000d__x000a_ 2" xfId="1222"/>
    <cellStyle name="0,0_x000d__x000a_NA_x000d__x000a__Thanh hoa chinh thuc 28-2" xfId="1223"/>
    <cellStyle name="0,0_x005f_x000d__x005f_x000a_NA_x005f_x000d__x005f_x000a_" xfId="1224"/>
    <cellStyle name="0.0" xfId="1225"/>
    <cellStyle name="0.0 2" xfId="1226"/>
    <cellStyle name="0.00" xfId="1227"/>
    <cellStyle name="0.00 2" xfId="1228"/>
    <cellStyle name="1" xfId="1229"/>
    <cellStyle name="1 2" xfId="1230"/>
    <cellStyle name="1_!1 1 bao cao giao KH ve HTCMT vung TNB   12-12-2011" xfId="1231"/>
    <cellStyle name="1_BAO GIA NGAY 24-10-08 (co dam)" xfId="1232"/>
    <cellStyle name="1_Bieu4HTMT" xfId="1233"/>
    <cellStyle name="1_Book1" xfId="1234"/>
    <cellStyle name="1_Book1_1" xfId="1235"/>
    <cellStyle name="1_Book1_1_!1 1 bao cao giao KH ve HTCMT vung TNB   12-12-2011" xfId="1236"/>
    <cellStyle name="1_Book1_1_Bieu4HTMT" xfId="1237"/>
    <cellStyle name="1_Book1_1_Bieu4HTMT_!1 1 bao cao giao KH ve HTCMT vung TNB   12-12-2011" xfId="1238"/>
    <cellStyle name="1_Book1_1_Bieu4HTMT_KH TPCP vung TNB (03-1-2012)" xfId="1239"/>
    <cellStyle name="1_Book1_1_KH TPCP vung TNB (03-1-2012)" xfId="1240"/>
    <cellStyle name="1_Cau thuy dien Ban La (Cu Anh)" xfId="1241"/>
    <cellStyle name="1_Cau thuy dien Ban La (Cu Anh)_!1 1 bao cao giao KH ve HTCMT vung TNB   12-12-2011" xfId="1242"/>
    <cellStyle name="1_Cau thuy dien Ban La (Cu Anh)_Bieu4HTMT" xfId="1243"/>
    <cellStyle name="1_Cau thuy dien Ban La (Cu Anh)_Bieu4HTMT_!1 1 bao cao giao KH ve HTCMT vung TNB   12-12-2011" xfId="1244"/>
    <cellStyle name="1_Cau thuy dien Ban La (Cu Anh)_Bieu4HTMT_KH TPCP vung TNB (03-1-2012)" xfId="1245"/>
    <cellStyle name="1_Cau thuy dien Ban La (Cu Anh)_KH TPCP vung TNB (03-1-2012)" xfId="1246"/>
    <cellStyle name="1_Cong trinh co y kien LD_Dang_NN_2011-Tay nguyen-9-10" xfId="1247"/>
    <cellStyle name="1_Du toan 558 (Km17+508.12 - Km 22)" xfId="1248"/>
    <cellStyle name="1_Du toan 558 (Km17+508.12 - Km 22)_!1 1 bao cao giao KH ve HTCMT vung TNB   12-12-2011" xfId="1249"/>
    <cellStyle name="1_Du toan 558 (Km17+508.12 - Km 22)_Bieu4HTMT" xfId="1250"/>
    <cellStyle name="1_Du toan 558 (Km17+508.12 - Km 22)_Bieu4HTMT_!1 1 bao cao giao KH ve HTCMT vung TNB   12-12-2011" xfId="1251"/>
    <cellStyle name="1_Du toan 558 (Km17+508.12 - Km 22)_Bieu4HTMT_KH TPCP vung TNB (03-1-2012)" xfId="1252"/>
    <cellStyle name="1_Du toan 558 (Km17+508.12 - Km 22)_KH TPCP vung TNB (03-1-2012)" xfId="1253"/>
    <cellStyle name="1_Gia_VLQL48_duyet " xfId="1254"/>
    <cellStyle name="1_Gia_VLQL48_duyet _!1 1 bao cao giao KH ve HTCMT vung TNB   12-12-2011" xfId="1255"/>
    <cellStyle name="1_Gia_VLQL48_duyet _Bieu4HTMT" xfId="1256"/>
    <cellStyle name="1_Gia_VLQL48_duyet _Bieu4HTMT_!1 1 bao cao giao KH ve HTCMT vung TNB   12-12-2011" xfId="1257"/>
    <cellStyle name="1_Gia_VLQL48_duyet _Bieu4HTMT_KH TPCP vung TNB (03-1-2012)" xfId="1258"/>
    <cellStyle name="1_Gia_VLQL48_duyet _KH TPCP vung TNB (03-1-2012)" xfId="1259"/>
    <cellStyle name="1_KlQdinhduyet" xfId="1263"/>
    <cellStyle name="1_KlQdinhduyet_!1 1 bao cao giao KH ve HTCMT vung TNB   12-12-2011" xfId="1264"/>
    <cellStyle name="1_KlQdinhduyet_Bieu4HTMT" xfId="1265"/>
    <cellStyle name="1_KlQdinhduyet_Bieu4HTMT_!1 1 bao cao giao KH ve HTCMT vung TNB   12-12-2011" xfId="1266"/>
    <cellStyle name="1_KlQdinhduyet_Bieu4HTMT_KH TPCP vung TNB (03-1-2012)" xfId="1267"/>
    <cellStyle name="1_KlQdinhduyet_KH TPCP vung TNB (03-1-2012)" xfId="1268"/>
    <cellStyle name="1_Kh ql62 (2010) 11-09" xfId="1260"/>
    <cellStyle name="1_KH TPCP vung TNB (03-1-2012)" xfId="1261"/>
    <cellStyle name="1_Khung 2012" xfId="1262"/>
    <cellStyle name="1_TN - Ho tro khac 2011" xfId="1269"/>
    <cellStyle name="1_TRUNG PMU 5" xfId="1270"/>
    <cellStyle name="1_ÿÿÿÿÿ" xfId="1271"/>
    <cellStyle name="1_ÿÿÿÿÿ_Bieu tong hop nhu cau ung 2011 da chon loc -Mien nui" xfId="1272"/>
    <cellStyle name="1_ÿÿÿÿÿ_Bieu tong hop nhu cau ung 2011 da chon loc -Mien nui 2" xfId="1273"/>
    <cellStyle name="1_ÿÿÿÿÿ_Kh ql62 (2010) 11-09" xfId="1274"/>
    <cellStyle name="1_ÿÿÿÿÿ_Khung 2012" xfId="1275"/>
    <cellStyle name="15" xfId="1276"/>
    <cellStyle name="18" xfId="1277"/>
    <cellStyle name="¹éºÐÀ²_      " xfId="1278"/>
    <cellStyle name="2" xfId="1279"/>
    <cellStyle name="2_Book1" xfId="1280"/>
    <cellStyle name="2_Book1_1" xfId="1281"/>
    <cellStyle name="2_Book1_1_!1 1 bao cao giao KH ve HTCMT vung TNB   12-12-2011" xfId="1282"/>
    <cellStyle name="2_Book1_1_Bieu4HTMT" xfId="1283"/>
    <cellStyle name="2_Book1_1_Bieu4HTMT_!1 1 bao cao giao KH ve HTCMT vung TNB   12-12-2011" xfId="1284"/>
    <cellStyle name="2_Book1_1_Bieu4HTMT_KH TPCP vung TNB (03-1-2012)" xfId="1285"/>
    <cellStyle name="2_Book1_1_KH TPCP vung TNB (03-1-2012)" xfId="1286"/>
    <cellStyle name="2_Cau thuy dien Ban La (Cu Anh)" xfId="1287"/>
    <cellStyle name="2_Cau thuy dien Ban La (Cu Anh)_!1 1 bao cao giao KH ve HTCMT vung TNB   12-12-2011" xfId="1288"/>
    <cellStyle name="2_Cau thuy dien Ban La (Cu Anh)_Bieu4HTMT" xfId="1289"/>
    <cellStyle name="2_Cau thuy dien Ban La (Cu Anh)_Bieu4HTMT_!1 1 bao cao giao KH ve HTCMT vung TNB   12-12-2011" xfId="1290"/>
    <cellStyle name="2_Cau thuy dien Ban La (Cu Anh)_Bieu4HTMT_KH TPCP vung TNB (03-1-2012)" xfId="1291"/>
    <cellStyle name="2_Cau thuy dien Ban La (Cu Anh)_KH TPCP vung TNB (03-1-2012)" xfId="1292"/>
    <cellStyle name="2_Du toan 558 (Km17+508.12 - Km 22)" xfId="1293"/>
    <cellStyle name="2_Du toan 558 (Km17+508.12 - Km 22)_!1 1 bao cao giao KH ve HTCMT vung TNB   12-12-2011" xfId="1294"/>
    <cellStyle name="2_Du toan 558 (Km17+508.12 - Km 22)_Bieu4HTMT" xfId="1295"/>
    <cellStyle name="2_Du toan 558 (Km17+508.12 - Km 22)_Bieu4HTMT_!1 1 bao cao giao KH ve HTCMT vung TNB   12-12-2011" xfId="1296"/>
    <cellStyle name="2_Du toan 558 (Km17+508.12 - Km 22)_Bieu4HTMT_KH TPCP vung TNB (03-1-2012)" xfId="1297"/>
    <cellStyle name="2_Du toan 558 (Km17+508.12 - Km 22)_KH TPCP vung TNB (03-1-2012)" xfId="1298"/>
    <cellStyle name="2_Gia_VLQL48_duyet " xfId="1299"/>
    <cellStyle name="2_Gia_VLQL48_duyet _!1 1 bao cao giao KH ve HTCMT vung TNB   12-12-2011" xfId="1300"/>
    <cellStyle name="2_Gia_VLQL48_duyet _Bieu4HTMT" xfId="1301"/>
    <cellStyle name="2_Gia_VLQL48_duyet _Bieu4HTMT_!1 1 bao cao giao KH ve HTCMT vung TNB   12-12-2011" xfId="1302"/>
    <cellStyle name="2_Gia_VLQL48_duyet _Bieu4HTMT_KH TPCP vung TNB (03-1-2012)" xfId="1303"/>
    <cellStyle name="2_Gia_VLQL48_duyet _KH TPCP vung TNB (03-1-2012)" xfId="1304"/>
    <cellStyle name="2_KlQdinhduyet" xfId="1305"/>
    <cellStyle name="2_KlQdinhduyet_!1 1 bao cao giao KH ve HTCMT vung TNB   12-12-2011" xfId="1306"/>
    <cellStyle name="2_KlQdinhduyet_Bieu4HTMT" xfId="1307"/>
    <cellStyle name="2_KlQdinhduyet_Bieu4HTMT_!1 1 bao cao giao KH ve HTCMT vung TNB   12-12-2011" xfId="1308"/>
    <cellStyle name="2_KlQdinhduyet_Bieu4HTMT_KH TPCP vung TNB (03-1-2012)" xfId="1309"/>
    <cellStyle name="2_KlQdinhduyet_KH TPCP vung TNB (03-1-2012)" xfId="1310"/>
    <cellStyle name="2_TRUNG PMU 5" xfId="1311"/>
    <cellStyle name="2_ÿÿÿÿÿ" xfId="1312"/>
    <cellStyle name="2_ÿÿÿÿÿ_Bieu tong hop nhu cau ung 2011 da chon loc -Mien nui" xfId="1313"/>
    <cellStyle name="2_ÿÿÿÿÿ_Bieu tong hop nhu cau ung 2011 da chon loc -Mien nui 2" xfId="1314"/>
    <cellStyle name="20% - Accent1 2" xfId="1315"/>
    <cellStyle name="20% - Accent2 2" xfId="1316"/>
    <cellStyle name="20% - Accent3 2" xfId="1317"/>
    <cellStyle name="20% - Accent4 2" xfId="1318"/>
    <cellStyle name="20% - Accent5 2" xfId="1319"/>
    <cellStyle name="20% - Accent6 2" xfId="1320"/>
    <cellStyle name="-2001" xfId="1321"/>
    <cellStyle name="3" xfId="1322"/>
    <cellStyle name="3_Book1" xfId="1323"/>
    <cellStyle name="3_Book1_1" xfId="1324"/>
    <cellStyle name="3_Book1_1_!1 1 bao cao giao KH ve HTCMT vung TNB   12-12-2011" xfId="1325"/>
    <cellStyle name="3_Book1_1_Bieu4HTMT" xfId="1326"/>
    <cellStyle name="3_Book1_1_Bieu4HTMT_!1 1 bao cao giao KH ve HTCMT vung TNB   12-12-2011" xfId="1327"/>
    <cellStyle name="3_Book1_1_Bieu4HTMT_KH TPCP vung TNB (03-1-2012)" xfId="1328"/>
    <cellStyle name="3_Book1_1_KH TPCP vung TNB (03-1-2012)" xfId="1329"/>
    <cellStyle name="3_Cau thuy dien Ban La (Cu Anh)" xfId="1330"/>
    <cellStyle name="3_Cau thuy dien Ban La (Cu Anh)_!1 1 bao cao giao KH ve HTCMT vung TNB   12-12-2011" xfId="1331"/>
    <cellStyle name="3_Cau thuy dien Ban La (Cu Anh)_Bieu4HTMT" xfId="1332"/>
    <cellStyle name="3_Cau thuy dien Ban La (Cu Anh)_Bieu4HTMT_!1 1 bao cao giao KH ve HTCMT vung TNB   12-12-2011" xfId="1333"/>
    <cellStyle name="3_Cau thuy dien Ban La (Cu Anh)_Bieu4HTMT_KH TPCP vung TNB (03-1-2012)" xfId="1334"/>
    <cellStyle name="3_Cau thuy dien Ban La (Cu Anh)_KH TPCP vung TNB (03-1-2012)" xfId="1335"/>
    <cellStyle name="3_Du toan 558 (Km17+508.12 - Km 22)" xfId="1336"/>
    <cellStyle name="3_Du toan 558 (Km17+508.12 - Km 22)_!1 1 bao cao giao KH ve HTCMT vung TNB   12-12-2011" xfId="1337"/>
    <cellStyle name="3_Du toan 558 (Km17+508.12 - Km 22)_Bieu4HTMT" xfId="1338"/>
    <cellStyle name="3_Du toan 558 (Km17+508.12 - Km 22)_Bieu4HTMT_!1 1 bao cao giao KH ve HTCMT vung TNB   12-12-2011" xfId="1339"/>
    <cellStyle name="3_Du toan 558 (Km17+508.12 - Km 22)_Bieu4HTMT_KH TPCP vung TNB (03-1-2012)" xfId="1340"/>
    <cellStyle name="3_Du toan 558 (Km17+508.12 - Km 22)_KH TPCP vung TNB (03-1-2012)" xfId="1341"/>
    <cellStyle name="3_Gia_VLQL48_duyet " xfId="1342"/>
    <cellStyle name="3_Gia_VLQL48_duyet _!1 1 bao cao giao KH ve HTCMT vung TNB   12-12-2011" xfId="1343"/>
    <cellStyle name="3_Gia_VLQL48_duyet _Bieu4HTMT" xfId="1344"/>
    <cellStyle name="3_Gia_VLQL48_duyet _Bieu4HTMT_!1 1 bao cao giao KH ve HTCMT vung TNB   12-12-2011" xfId="1345"/>
    <cellStyle name="3_Gia_VLQL48_duyet _Bieu4HTMT_KH TPCP vung TNB (03-1-2012)" xfId="1346"/>
    <cellStyle name="3_Gia_VLQL48_duyet _KH TPCP vung TNB (03-1-2012)" xfId="1347"/>
    <cellStyle name="3_KlQdinhduyet" xfId="1348"/>
    <cellStyle name="3_KlQdinhduyet_!1 1 bao cao giao KH ve HTCMT vung TNB   12-12-2011" xfId="1349"/>
    <cellStyle name="3_KlQdinhduyet_Bieu4HTMT" xfId="1350"/>
    <cellStyle name="3_KlQdinhduyet_Bieu4HTMT_!1 1 bao cao giao KH ve HTCMT vung TNB   12-12-2011" xfId="1351"/>
    <cellStyle name="3_KlQdinhduyet_Bieu4HTMT_KH TPCP vung TNB (03-1-2012)" xfId="1352"/>
    <cellStyle name="3_KlQdinhduyet_KH TPCP vung TNB (03-1-2012)" xfId="1353"/>
    <cellStyle name="3_ÿÿÿÿÿ" xfId="1354"/>
    <cellStyle name="4" xfId="1355"/>
    <cellStyle name="4_Book1" xfId="1356"/>
    <cellStyle name="4_Book1_1" xfId="1357"/>
    <cellStyle name="4_Book1_1_!1 1 bao cao giao KH ve HTCMT vung TNB   12-12-2011" xfId="1358"/>
    <cellStyle name="4_Book1_1_Bieu4HTMT" xfId="1359"/>
    <cellStyle name="4_Book1_1_Bieu4HTMT_!1 1 bao cao giao KH ve HTCMT vung TNB   12-12-2011" xfId="1360"/>
    <cellStyle name="4_Book1_1_Bieu4HTMT_KH TPCP vung TNB (03-1-2012)" xfId="1361"/>
    <cellStyle name="4_Book1_1_KH TPCP vung TNB (03-1-2012)" xfId="1362"/>
    <cellStyle name="4_Cau thuy dien Ban La (Cu Anh)" xfId="1363"/>
    <cellStyle name="4_Cau thuy dien Ban La (Cu Anh)_!1 1 bao cao giao KH ve HTCMT vung TNB   12-12-2011" xfId="1364"/>
    <cellStyle name="4_Cau thuy dien Ban La (Cu Anh)_Bieu4HTMT" xfId="1365"/>
    <cellStyle name="4_Cau thuy dien Ban La (Cu Anh)_Bieu4HTMT_!1 1 bao cao giao KH ve HTCMT vung TNB   12-12-2011" xfId="1366"/>
    <cellStyle name="4_Cau thuy dien Ban La (Cu Anh)_Bieu4HTMT_KH TPCP vung TNB (03-1-2012)" xfId="1367"/>
    <cellStyle name="4_Cau thuy dien Ban La (Cu Anh)_KH TPCP vung TNB (03-1-2012)" xfId="1368"/>
    <cellStyle name="4_Du toan 558 (Km17+508.12 - Km 22)" xfId="1369"/>
    <cellStyle name="4_Du toan 558 (Km17+508.12 - Km 22)_!1 1 bao cao giao KH ve HTCMT vung TNB   12-12-2011" xfId="1370"/>
    <cellStyle name="4_Du toan 558 (Km17+508.12 - Km 22)_Bieu4HTMT" xfId="1371"/>
    <cellStyle name="4_Du toan 558 (Km17+508.12 - Km 22)_Bieu4HTMT_!1 1 bao cao giao KH ve HTCMT vung TNB   12-12-2011" xfId="1372"/>
    <cellStyle name="4_Du toan 558 (Km17+508.12 - Km 22)_Bieu4HTMT_KH TPCP vung TNB (03-1-2012)" xfId="1373"/>
    <cellStyle name="4_Du toan 558 (Km17+508.12 - Km 22)_KH TPCP vung TNB (03-1-2012)" xfId="1374"/>
    <cellStyle name="4_Gia_VLQL48_duyet " xfId="1375"/>
    <cellStyle name="4_Gia_VLQL48_duyet _!1 1 bao cao giao KH ve HTCMT vung TNB   12-12-2011" xfId="1376"/>
    <cellStyle name="4_Gia_VLQL48_duyet _Bieu4HTMT" xfId="1377"/>
    <cellStyle name="4_Gia_VLQL48_duyet _Bieu4HTMT_!1 1 bao cao giao KH ve HTCMT vung TNB   12-12-2011" xfId="1378"/>
    <cellStyle name="4_Gia_VLQL48_duyet _Bieu4HTMT_KH TPCP vung TNB (03-1-2012)" xfId="1379"/>
    <cellStyle name="4_Gia_VLQL48_duyet _KH TPCP vung TNB (03-1-2012)" xfId="1380"/>
    <cellStyle name="4_KlQdinhduyet" xfId="1381"/>
    <cellStyle name="4_KlQdinhduyet_!1 1 bao cao giao KH ve HTCMT vung TNB   12-12-2011" xfId="1382"/>
    <cellStyle name="4_KlQdinhduyet_Bieu4HTMT" xfId="1383"/>
    <cellStyle name="4_KlQdinhduyet_Bieu4HTMT_!1 1 bao cao giao KH ve HTCMT vung TNB   12-12-2011" xfId="1384"/>
    <cellStyle name="4_KlQdinhduyet_Bieu4HTMT_KH TPCP vung TNB (03-1-2012)" xfId="1385"/>
    <cellStyle name="4_KlQdinhduyet_KH TPCP vung TNB (03-1-2012)" xfId="1386"/>
    <cellStyle name="4_ÿÿÿÿÿ" xfId="1387"/>
    <cellStyle name="40% - Accent1 2" xfId="1388"/>
    <cellStyle name="40% - Accent2 2" xfId="1389"/>
    <cellStyle name="40% - Accent3 2" xfId="1390"/>
    <cellStyle name="40% - Accent4 2" xfId="1391"/>
    <cellStyle name="40% - Accent5 2" xfId="1392"/>
    <cellStyle name="40% - Accent6 2" xfId="1393"/>
    <cellStyle name="52" xfId="1394"/>
    <cellStyle name="6" xfId="1395"/>
    <cellStyle name="6_15_10_2013 BC nhu cau von doi ung ODA (2014-2016) ngay 15102013 Sua" xfId="1396"/>
    <cellStyle name="6_BC nhu cau von doi ung ODA nganh NN (BKH)" xfId="1397"/>
    <cellStyle name="6_BC nhu cau von doi ung ODA nganh NN (BKH)_05-12  KH trung han 2016-2020 - Liem Thinh edited" xfId="1398"/>
    <cellStyle name="6_BC nhu cau von doi ung ODA nganh NN (BKH)_Copy of 05-12  KH trung han 2016-2020 - Liem Thinh edited (1)" xfId="1399"/>
    <cellStyle name="6_BC Tai co cau (bieu TH)" xfId="1400"/>
    <cellStyle name="6_BC Tai co cau (bieu TH)_05-12  KH trung han 2016-2020 - Liem Thinh edited" xfId="1401"/>
    <cellStyle name="6_BC Tai co cau (bieu TH)_Copy of 05-12  KH trung han 2016-2020 - Liem Thinh edited (1)" xfId="1402"/>
    <cellStyle name="6_Cong trinh co y kien LD_Dang_NN_2011-Tay nguyen-9-10" xfId="1403"/>
    <cellStyle name="6_Cong trinh co y kien LD_Dang_NN_2011-Tay nguyen-9-10_!1 1 bao cao giao KH ve HTCMT vung TNB   12-12-2011" xfId="1404"/>
    <cellStyle name="6_Cong trinh co y kien LD_Dang_NN_2011-Tay nguyen-9-10_Bieu4HTMT" xfId="1405"/>
    <cellStyle name="6_Cong trinh co y kien LD_Dang_NN_2011-Tay nguyen-9-10_Bieu4HTMT_!1 1 bao cao giao KH ve HTCMT vung TNB   12-12-2011" xfId="1406"/>
    <cellStyle name="6_Cong trinh co y kien LD_Dang_NN_2011-Tay nguyen-9-10_Bieu4HTMT_KH TPCP vung TNB (03-1-2012)" xfId="1407"/>
    <cellStyle name="6_Cong trinh co y kien LD_Dang_NN_2011-Tay nguyen-9-10_KH TPCP vung TNB (03-1-2012)" xfId="1408"/>
    <cellStyle name="6_DK 2014-2015 final" xfId="1409"/>
    <cellStyle name="6_DK 2014-2015 final_05-12  KH trung han 2016-2020 - Liem Thinh edited" xfId="1410"/>
    <cellStyle name="6_DK 2014-2015 final_Copy of 05-12  KH trung han 2016-2020 - Liem Thinh edited (1)" xfId="1411"/>
    <cellStyle name="6_DK 2014-2015 new" xfId="1412"/>
    <cellStyle name="6_DK 2014-2015 new_05-12  KH trung han 2016-2020 - Liem Thinh edited" xfId="1413"/>
    <cellStyle name="6_DK 2014-2015 new_Copy of 05-12  KH trung han 2016-2020 - Liem Thinh edited (1)" xfId="1414"/>
    <cellStyle name="6_DK KH CBDT 2014 11-11-2013" xfId="1415"/>
    <cellStyle name="6_DK KH CBDT 2014 11-11-2013(1)" xfId="1416"/>
    <cellStyle name="6_DK KH CBDT 2014 11-11-2013(1)_05-12  KH trung han 2016-2020 - Liem Thinh edited" xfId="1417"/>
    <cellStyle name="6_DK KH CBDT 2014 11-11-2013(1)_Copy of 05-12  KH trung han 2016-2020 - Liem Thinh edited (1)" xfId="1418"/>
    <cellStyle name="6_DK KH CBDT 2014 11-11-2013_05-12  KH trung han 2016-2020 - Liem Thinh edited" xfId="1419"/>
    <cellStyle name="6_DK KH CBDT 2014 11-11-2013_Copy of 05-12  KH trung han 2016-2020 - Liem Thinh edited (1)" xfId="1420"/>
    <cellStyle name="6_KH 2011-2015" xfId="1421"/>
    <cellStyle name="6_tai co cau dau tu (tong hop)1" xfId="1422"/>
    <cellStyle name="6_TN - Ho tro khac 2011" xfId="1423"/>
    <cellStyle name="6_TN - Ho tro khac 2011_!1 1 bao cao giao KH ve HTCMT vung TNB   12-12-2011" xfId="1424"/>
    <cellStyle name="6_TN - Ho tro khac 2011_Bieu4HTMT" xfId="1425"/>
    <cellStyle name="6_TN - Ho tro khac 2011_Bieu4HTMT_!1 1 bao cao giao KH ve HTCMT vung TNB   12-12-2011" xfId="1426"/>
    <cellStyle name="6_TN - Ho tro khac 2011_Bieu4HTMT_KH TPCP vung TNB (03-1-2012)" xfId="1427"/>
    <cellStyle name="6_TN - Ho tro khac 2011_KH TPCP vung TNB (03-1-2012)" xfId="1428"/>
    <cellStyle name="60% - Accent1 2" xfId="1429"/>
    <cellStyle name="60% - Accent2 2" xfId="1430"/>
    <cellStyle name="60% - Accent3 2" xfId="1431"/>
    <cellStyle name="60% - Accent4 2" xfId="1432"/>
    <cellStyle name="60% - Accent5 2" xfId="1433"/>
    <cellStyle name="60% - Accent6 2" xfId="1434"/>
    <cellStyle name="9" xfId="1435"/>
    <cellStyle name="9_!1 1 bao cao giao KH ve HTCMT vung TNB   12-12-2011" xfId="1436"/>
    <cellStyle name="9_Bieu4HTMT" xfId="1437"/>
    <cellStyle name="9_Bieu4HTMT_!1 1 bao cao giao KH ve HTCMT vung TNB   12-12-2011" xfId="1438"/>
    <cellStyle name="9_Bieu4HTMT_KH TPCP vung TNB (03-1-2012)" xfId="1439"/>
    <cellStyle name="9_KH TPCP vung TNB (03-1-2012)" xfId="1440"/>
    <cellStyle name="Accent1 2" xfId="1441"/>
    <cellStyle name="Accent2 2" xfId="1442"/>
    <cellStyle name="Accent3 2" xfId="1443"/>
    <cellStyle name="Accent4 2" xfId="1444"/>
    <cellStyle name="Accent5 2" xfId="1445"/>
    <cellStyle name="Accent6 2" xfId="1446"/>
    <cellStyle name="ÅëÈ­ [0]_      " xfId="1447"/>
    <cellStyle name="AeE­ [0]_INQUIRY ¿?¾÷AßAø " xfId="1448"/>
    <cellStyle name="ÅëÈ­ [0]_L601CPT" xfId="1449"/>
    <cellStyle name="ÅëÈ­_      " xfId="1450"/>
    <cellStyle name="AeE­_INQUIRY ¿?¾÷AßAø " xfId="1451"/>
    <cellStyle name="ÅëÈ­_L601CPT" xfId="1452"/>
    <cellStyle name="args.style" xfId="1453"/>
    <cellStyle name="args.style 2" xfId="1454"/>
    <cellStyle name="at" xfId="1455"/>
    <cellStyle name="ÄÞ¸¶ [0]_      " xfId="1456"/>
    <cellStyle name="AÞ¸¶ [0]_INQUIRY ¿?¾÷AßAø " xfId="1457"/>
    <cellStyle name="ÄÞ¸¶ [0]_L601CPT" xfId="1458"/>
    <cellStyle name="ÄÞ¸¶_      " xfId="1459"/>
    <cellStyle name="AÞ¸¶_INQUIRY ¿?¾÷AßAø " xfId="1460"/>
    <cellStyle name="ÄÞ¸¶_L601CPT" xfId="1461"/>
    <cellStyle name="AutoFormat Options" xfId="1462"/>
    <cellStyle name="AutoFormat Options 2" xfId="1463"/>
    <cellStyle name="Bad 2" xfId="1464"/>
    <cellStyle name="Bình thường 2" xfId="2"/>
    <cellStyle name="Body" xfId="1465"/>
    <cellStyle name="C?AØ_¿?¾÷CoE² " xfId="1466"/>
    <cellStyle name="C~1" xfId="1467"/>
    <cellStyle name="Ç¥ÁØ_      " xfId="1468"/>
    <cellStyle name="C￥AØ_¿μ¾÷CoE² " xfId="1469"/>
    <cellStyle name="Ç¥ÁØ_±¸¹Ì´ëÃ¥" xfId="1470"/>
    <cellStyle name="C￥AØ_Sheet1_¿μ¾÷CoE² " xfId="1471"/>
    <cellStyle name="Ç¥ÁØ_ÿÿÿÿÿÿ_4_ÃÑÇÕ°è " xfId="1472"/>
    <cellStyle name="Calc Currency (0)" xfId="1473"/>
    <cellStyle name="Calc Currency (0) 2" xfId="1474"/>
    <cellStyle name="Calc Currency (2)" xfId="1475"/>
    <cellStyle name="Calc Currency (2) 10" xfId="1476"/>
    <cellStyle name="Calc Currency (2) 11" xfId="1477"/>
    <cellStyle name="Calc Currency (2) 12" xfId="1478"/>
    <cellStyle name="Calc Currency (2) 13" xfId="1479"/>
    <cellStyle name="Calc Currency (2) 14" xfId="1480"/>
    <cellStyle name="Calc Currency (2) 15" xfId="1481"/>
    <cellStyle name="Calc Currency (2) 16" xfId="1482"/>
    <cellStyle name="Calc Currency (2) 2" xfId="1483"/>
    <cellStyle name="Calc Currency (2) 3" xfId="1484"/>
    <cellStyle name="Calc Currency (2) 4" xfId="1485"/>
    <cellStyle name="Calc Currency (2) 5" xfId="1486"/>
    <cellStyle name="Calc Currency (2) 6" xfId="1487"/>
    <cellStyle name="Calc Currency (2) 7" xfId="1488"/>
    <cellStyle name="Calc Currency (2) 8" xfId="1489"/>
    <cellStyle name="Calc Currency (2) 9" xfId="1490"/>
    <cellStyle name="Calc Percent (0)" xfId="1491"/>
    <cellStyle name="Calc Percent (0) 10" xfId="1492"/>
    <cellStyle name="Calc Percent (0) 11" xfId="1493"/>
    <cellStyle name="Calc Percent (0) 12" xfId="1494"/>
    <cellStyle name="Calc Percent (0) 13" xfId="1495"/>
    <cellStyle name="Calc Percent (0) 14" xfId="1496"/>
    <cellStyle name="Calc Percent (0) 15" xfId="1497"/>
    <cellStyle name="Calc Percent (0) 16" xfId="1498"/>
    <cellStyle name="Calc Percent (0) 2" xfId="1499"/>
    <cellStyle name="Calc Percent (0) 3" xfId="1500"/>
    <cellStyle name="Calc Percent (0) 4" xfId="1501"/>
    <cellStyle name="Calc Percent (0) 5" xfId="1502"/>
    <cellStyle name="Calc Percent (0) 6" xfId="1503"/>
    <cellStyle name="Calc Percent (0) 7" xfId="1504"/>
    <cellStyle name="Calc Percent (0) 8" xfId="1505"/>
    <cellStyle name="Calc Percent (0) 9" xfId="1506"/>
    <cellStyle name="Calc Percent (1)" xfId="1507"/>
    <cellStyle name="Calc Percent (1) 10" xfId="1508"/>
    <cellStyle name="Calc Percent (1) 11" xfId="1509"/>
    <cellStyle name="Calc Percent (1) 12" xfId="1510"/>
    <cellStyle name="Calc Percent (1) 13" xfId="1511"/>
    <cellStyle name="Calc Percent (1) 14" xfId="1512"/>
    <cellStyle name="Calc Percent (1) 15" xfId="1513"/>
    <cellStyle name="Calc Percent (1) 16" xfId="1514"/>
    <cellStyle name="Calc Percent (1) 2" xfId="1515"/>
    <cellStyle name="Calc Percent (1) 3" xfId="1516"/>
    <cellStyle name="Calc Percent (1) 4" xfId="1517"/>
    <cellStyle name="Calc Percent (1) 5" xfId="1518"/>
    <cellStyle name="Calc Percent (1) 6" xfId="1519"/>
    <cellStyle name="Calc Percent (1) 7" xfId="1520"/>
    <cellStyle name="Calc Percent (1) 8" xfId="1521"/>
    <cellStyle name="Calc Percent (1) 9" xfId="1522"/>
    <cellStyle name="Calc Percent (2)" xfId="1523"/>
    <cellStyle name="Calc Percent (2) 10" xfId="1524"/>
    <cellStyle name="Calc Percent (2) 11" xfId="1525"/>
    <cellStyle name="Calc Percent (2) 12" xfId="1526"/>
    <cellStyle name="Calc Percent (2) 13" xfId="1527"/>
    <cellStyle name="Calc Percent (2) 14" xfId="1528"/>
    <cellStyle name="Calc Percent (2) 15" xfId="1529"/>
    <cellStyle name="Calc Percent (2) 16" xfId="1530"/>
    <cellStyle name="Calc Percent (2) 2" xfId="1531"/>
    <cellStyle name="Calc Percent (2) 3" xfId="1532"/>
    <cellStyle name="Calc Percent (2) 4" xfId="1533"/>
    <cellStyle name="Calc Percent (2) 5" xfId="1534"/>
    <cellStyle name="Calc Percent (2) 6" xfId="1535"/>
    <cellStyle name="Calc Percent (2) 7" xfId="1536"/>
    <cellStyle name="Calc Percent (2) 8" xfId="1537"/>
    <cellStyle name="Calc Percent (2) 9" xfId="1538"/>
    <cellStyle name="Calc Units (0)" xfId="1539"/>
    <cellStyle name="Calc Units (0) 10" xfId="1540"/>
    <cellStyle name="Calc Units (0) 11" xfId="1541"/>
    <cellStyle name="Calc Units (0) 12" xfId="1542"/>
    <cellStyle name="Calc Units (0) 13" xfId="1543"/>
    <cellStyle name="Calc Units (0) 14" xfId="1544"/>
    <cellStyle name="Calc Units (0) 15" xfId="1545"/>
    <cellStyle name="Calc Units (0) 16" xfId="1546"/>
    <cellStyle name="Calc Units (0) 2" xfId="1547"/>
    <cellStyle name="Calc Units (0) 3" xfId="1548"/>
    <cellStyle name="Calc Units (0) 4" xfId="1549"/>
    <cellStyle name="Calc Units (0) 5" xfId="1550"/>
    <cellStyle name="Calc Units (0) 6" xfId="1551"/>
    <cellStyle name="Calc Units (0) 7" xfId="1552"/>
    <cellStyle name="Calc Units (0) 8" xfId="1553"/>
    <cellStyle name="Calc Units (0) 9" xfId="1554"/>
    <cellStyle name="Calc Units (1)" xfId="1555"/>
    <cellStyle name="Calc Units (1) 10" xfId="1556"/>
    <cellStyle name="Calc Units (1) 11" xfId="1557"/>
    <cellStyle name="Calc Units (1) 12" xfId="1558"/>
    <cellStyle name="Calc Units (1) 13" xfId="1559"/>
    <cellStyle name="Calc Units (1) 14" xfId="1560"/>
    <cellStyle name="Calc Units (1) 15" xfId="1561"/>
    <cellStyle name="Calc Units (1) 16" xfId="1562"/>
    <cellStyle name="Calc Units (1) 2" xfId="1563"/>
    <cellStyle name="Calc Units (1) 3" xfId="1564"/>
    <cellStyle name="Calc Units (1) 4" xfId="1565"/>
    <cellStyle name="Calc Units (1) 5" xfId="1566"/>
    <cellStyle name="Calc Units (1) 6" xfId="1567"/>
    <cellStyle name="Calc Units (1) 7" xfId="1568"/>
    <cellStyle name="Calc Units (1) 8" xfId="1569"/>
    <cellStyle name="Calc Units (1) 9" xfId="1570"/>
    <cellStyle name="Calc Units (2)" xfId="1571"/>
    <cellStyle name="Calc Units (2) 10" xfId="1572"/>
    <cellStyle name="Calc Units (2) 11" xfId="1573"/>
    <cellStyle name="Calc Units (2) 12" xfId="1574"/>
    <cellStyle name="Calc Units (2) 13" xfId="1575"/>
    <cellStyle name="Calc Units (2) 14" xfId="1576"/>
    <cellStyle name="Calc Units (2) 15" xfId="1577"/>
    <cellStyle name="Calc Units (2) 16" xfId="1578"/>
    <cellStyle name="Calc Units (2) 2" xfId="1579"/>
    <cellStyle name="Calc Units (2) 3" xfId="1580"/>
    <cellStyle name="Calc Units (2) 4" xfId="1581"/>
    <cellStyle name="Calc Units (2) 5" xfId="1582"/>
    <cellStyle name="Calc Units (2) 6" xfId="1583"/>
    <cellStyle name="Calc Units (2) 7" xfId="1584"/>
    <cellStyle name="Calc Units (2) 8" xfId="1585"/>
    <cellStyle name="Calc Units (2) 9" xfId="1586"/>
    <cellStyle name="Calculation 2" xfId="1587"/>
    <cellStyle name="category" xfId="1588"/>
    <cellStyle name="category 2" xfId="1589"/>
    <cellStyle name="Centered Heading" xfId="1590"/>
    <cellStyle name="Cerrency_Sheet2_XANGDAU" xfId="1591"/>
    <cellStyle name="Column_Title" xfId="1595"/>
    <cellStyle name="Comma" xfId="1" builtinId="3"/>
    <cellStyle name="Comma  - Style1" xfId="1596"/>
    <cellStyle name="Comma  - Style2" xfId="1597"/>
    <cellStyle name="Comma  - Style3" xfId="1598"/>
    <cellStyle name="Comma  - Style4" xfId="1599"/>
    <cellStyle name="Comma  - Style5" xfId="1600"/>
    <cellStyle name="Comma  - Style6" xfId="1601"/>
    <cellStyle name="Comma  - Style7" xfId="1602"/>
    <cellStyle name="Comma  - Style8" xfId="1603"/>
    <cellStyle name="Comma %" xfId="1604"/>
    <cellStyle name="Comma % 10" xfId="1605"/>
    <cellStyle name="Comma % 11" xfId="1606"/>
    <cellStyle name="Comma % 12" xfId="1607"/>
    <cellStyle name="Comma % 13" xfId="1608"/>
    <cellStyle name="Comma % 14" xfId="1609"/>
    <cellStyle name="Comma % 15" xfId="1610"/>
    <cellStyle name="Comma % 2" xfId="1611"/>
    <cellStyle name="Comma % 3" xfId="1612"/>
    <cellStyle name="Comma % 4" xfId="1613"/>
    <cellStyle name="Comma % 5" xfId="1614"/>
    <cellStyle name="Comma % 6" xfId="1615"/>
    <cellStyle name="Comma % 7" xfId="1616"/>
    <cellStyle name="Comma % 8" xfId="1617"/>
    <cellStyle name="Comma % 9" xfId="1618"/>
    <cellStyle name="Comma [0] 10" xfId="1619"/>
    <cellStyle name="Comma [0] 11" xfId="1620"/>
    <cellStyle name="Comma [0] 2" xfId="1621"/>
    <cellStyle name="Comma [0] 2 10" xfId="1622"/>
    <cellStyle name="Comma [0] 2 11" xfId="1623"/>
    <cellStyle name="Comma [0] 2 12" xfId="1624"/>
    <cellStyle name="Comma [0] 2 13" xfId="1625"/>
    <cellStyle name="Comma [0] 2 14" xfId="1626"/>
    <cellStyle name="Comma [0] 2 15" xfId="1627"/>
    <cellStyle name="Comma [0] 2 16" xfId="1628"/>
    <cellStyle name="Comma [0] 2 17" xfId="1629"/>
    <cellStyle name="Comma [0] 2 18" xfId="1630"/>
    <cellStyle name="Comma [0] 2 19" xfId="1631"/>
    <cellStyle name="Comma [0] 2 2" xfId="1632"/>
    <cellStyle name="Comma [0] 2 2 2" xfId="1633"/>
    <cellStyle name="Comma [0] 2 20" xfId="1634"/>
    <cellStyle name="Comma [0] 2 21" xfId="1635"/>
    <cellStyle name="Comma [0] 2 22" xfId="1636"/>
    <cellStyle name="Comma [0] 2 23" xfId="1637"/>
    <cellStyle name="Comma [0] 2 24" xfId="1638"/>
    <cellStyle name="Comma [0] 2 25" xfId="1639"/>
    <cellStyle name="Comma [0] 2 26" xfId="1640"/>
    <cellStyle name="Comma [0] 2 3" xfId="1641"/>
    <cellStyle name="Comma [0] 2 4" xfId="1642"/>
    <cellStyle name="Comma [0] 2 5" xfId="1643"/>
    <cellStyle name="Comma [0] 2 6" xfId="1644"/>
    <cellStyle name="Comma [0] 2 7" xfId="1645"/>
    <cellStyle name="Comma [0] 2 8" xfId="1646"/>
    <cellStyle name="Comma [0] 2 9" xfId="1647"/>
    <cellStyle name="Comma [0] 2_05-12  KH trung han 2016-2020 - Liem Thinh edited" xfId="1648"/>
    <cellStyle name="Comma [0] 3" xfId="1649"/>
    <cellStyle name="Comma [0] 3 2" xfId="1650"/>
    <cellStyle name="Comma [0] 3 3" xfId="1651"/>
    <cellStyle name="Comma [0] 4" xfId="1652"/>
    <cellStyle name="Comma [0] 5" xfId="1653"/>
    <cellStyle name="Comma [0] 6" xfId="1654"/>
    <cellStyle name="Comma [0] 7" xfId="1655"/>
    <cellStyle name="Comma [0] 8" xfId="1656"/>
    <cellStyle name="Comma [0] 9" xfId="1657"/>
    <cellStyle name="Comma [00]" xfId="1658"/>
    <cellStyle name="Comma [00] 10" xfId="1659"/>
    <cellStyle name="Comma [00] 11" xfId="1660"/>
    <cellStyle name="Comma [00] 12" xfId="1661"/>
    <cellStyle name="Comma [00] 13" xfId="1662"/>
    <cellStyle name="Comma [00] 14" xfId="1663"/>
    <cellStyle name="Comma [00] 15" xfId="1664"/>
    <cellStyle name="Comma [00] 16" xfId="1665"/>
    <cellStyle name="Comma [00] 2" xfId="1666"/>
    <cellStyle name="Comma [00] 3" xfId="1667"/>
    <cellStyle name="Comma [00] 4" xfId="1668"/>
    <cellStyle name="Comma [00] 5" xfId="1669"/>
    <cellStyle name="Comma [00] 6" xfId="1670"/>
    <cellStyle name="Comma [00] 7" xfId="1671"/>
    <cellStyle name="Comma [00] 8" xfId="1672"/>
    <cellStyle name="Comma [00] 9" xfId="1673"/>
    <cellStyle name="Comma 0.0" xfId="1674"/>
    <cellStyle name="Comma 0.0%" xfId="1675"/>
    <cellStyle name="Comma 0.00" xfId="1676"/>
    <cellStyle name="Comma 0.00%" xfId="1677"/>
    <cellStyle name="Comma 0.000" xfId="1678"/>
    <cellStyle name="Comma 0.000%" xfId="1679"/>
    <cellStyle name="Comma 10" xfId="83"/>
    <cellStyle name="Comma 10 10" xfId="1680"/>
    <cellStyle name="Comma 10 2" xfId="1681"/>
    <cellStyle name="Comma 10 2 2" xfId="1682"/>
    <cellStyle name="Comma 10 3" xfId="1683"/>
    <cellStyle name="Comma 10 3 2" xfId="1684"/>
    <cellStyle name="Comma 10 3 3 2" xfId="1685"/>
    <cellStyle name="Comma 11" xfId="1686"/>
    <cellStyle name="Comma 11 2" xfId="43"/>
    <cellStyle name="Comma 11 3" xfId="1687"/>
    <cellStyle name="Comma 11 3 2" xfId="1688"/>
    <cellStyle name="Comma 11 3 3" xfId="1689"/>
    <cellStyle name="Comma 12" xfId="1690"/>
    <cellStyle name="Comma 12 2" xfId="1691"/>
    <cellStyle name="Comma 12 3" xfId="1692"/>
    <cellStyle name="Comma 13" xfId="1693"/>
    <cellStyle name="Comma 13 2" xfId="1694"/>
    <cellStyle name="Comma 13 2 2" xfId="1695"/>
    <cellStyle name="Comma 13 2 2 2" xfId="1696"/>
    <cellStyle name="Comma 13 2 2 2 2" xfId="1697"/>
    <cellStyle name="Comma 13 2 2 2 3" xfId="1698"/>
    <cellStyle name="Comma 13 2 2 3" xfId="1699"/>
    <cellStyle name="Comma 13 2 2 4" xfId="1700"/>
    <cellStyle name="Comma 13 2 2 5" xfId="1701"/>
    <cellStyle name="Comma 13 2 3" xfId="1702"/>
    <cellStyle name="Comma 13 2 3 2" xfId="1703"/>
    <cellStyle name="Comma 13 2 4" xfId="1704"/>
    <cellStyle name="Comma 13 2 5" xfId="1705"/>
    <cellStyle name="Comma 13 3" xfId="1706"/>
    <cellStyle name="Comma 13 4" xfId="1707"/>
    <cellStyle name="Comma 14" xfId="1708"/>
    <cellStyle name="Comma 14 2" xfId="1709"/>
    <cellStyle name="Comma 14 2 2" xfId="1710"/>
    <cellStyle name="Comma 14 3" xfId="1711"/>
    <cellStyle name="Comma 15" xfId="1712"/>
    <cellStyle name="Comma 15 2" xfId="1713"/>
    <cellStyle name="Comma 15 3" xfId="1714"/>
    <cellStyle name="Comma 16" xfId="1715"/>
    <cellStyle name="Comma 16 2" xfId="1716"/>
    <cellStyle name="Comma 16 3" xfId="1717"/>
    <cellStyle name="Comma 16 3 2" xfId="1718"/>
    <cellStyle name="Comma 16 3 2 2" xfId="1719"/>
    <cellStyle name="Comma 16 3 3" xfId="1720"/>
    <cellStyle name="Comma 16 3 3 2" xfId="1721"/>
    <cellStyle name="Comma 16 3 4" xfId="1722"/>
    <cellStyle name="Comma 17" xfId="1723"/>
    <cellStyle name="Comma 17 2" xfId="1724"/>
    <cellStyle name="Comma 17 3" xfId="1725"/>
    <cellStyle name="Comma 17 4" xfId="1726"/>
    <cellStyle name="Comma 18" xfId="1727"/>
    <cellStyle name="Comma 18 2" xfId="1728"/>
    <cellStyle name="Comma 18 3" xfId="1729"/>
    <cellStyle name="Comma 19" xfId="1730"/>
    <cellStyle name="Comma 19 2" xfId="1731"/>
    <cellStyle name="Comma 2" xfId="34"/>
    <cellStyle name="Comma 2 10" xfId="1732"/>
    <cellStyle name="Comma 2 11" xfId="1733"/>
    <cellStyle name="Comma 2 12" xfId="1734"/>
    <cellStyle name="Comma 2 13" xfId="1735"/>
    <cellStyle name="Comma 2 14" xfId="1736"/>
    <cellStyle name="Comma 2 15" xfId="1737"/>
    <cellStyle name="Comma 2 16" xfId="1738"/>
    <cellStyle name="Comma 2 17" xfId="1739"/>
    <cellStyle name="Comma 2 18" xfId="1740"/>
    <cellStyle name="Comma 2 19" xfId="1741"/>
    <cellStyle name="Comma 2 2" xfId="16"/>
    <cellStyle name="Comma 2 2 10" xfId="1742"/>
    <cellStyle name="Comma 2 2 11" xfId="1743"/>
    <cellStyle name="Comma 2 2 12" xfId="1744"/>
    <cellStyle name="Comma 2 2 13" xfId="1745"/>
    <cellStyle name="Comma 2 2 14" xfId="1746"/>
    <cellStyle name="Comma 2 2 15" xfId="1747"/>
    <cellStyle name="Comma 2 2 16" xfId="1748"/>
    <cellStyle name="Comma 2 2 17" xfId="1749"/>
    <cellStyle name="Comma 2 2 18" xfId="1750"/>
    <cellStyle name="Comma 2 2 19" xfId="1751"/>
    <cellStyle name="Comma 2 2 2" xfId="1752"/>
    <cellStyle name="Comma 2 2 2 10" xfId="1753"/>
    <cellStyle name="Comma 2 2 2 11" xfId="1754"/>
    <cellStyle name="Comma 2 2 2 12" xfId="1755"/>
    <cellStyle name="Comma 2 2 2 13" xfId="1756"/>
    <cellStyle name="Comma 2 2 2 14" xfId="1757"/>
    <cellStyle name="Comma 2 2 2 15" xfId="1758"/>
    <cellStyle name="Comma 2 2 2 16" xfId="1759"/>
    <cellStyle name="Comma 2 2 2 17" xfId="1760"/>
    <cellStyle name="Comma 2 2 2 18" xfId="1761"/>
    <cellStyle name="Comma 2 2 2 19" xfId="1762"/>
    <cellStyle name="Comma 2 2 2 2" xfId="1763"/>
    <cellStyle name="Comma 2 2 2 2 2" xfId="1764"/>
    <cellStyle name="Comma 2 2 2 20" xfId="1765"/>
    <cellStyle name="Comma 2 2 2 21" xfId="1766"/>
    <cellStyle name="Comma 2 2 2 22" xfId="1767"/>
    <cellStyle name="Comma 2 2 2 23" xfId="1768"/>
    <cellStyle name="Comma 2 2 2 24" xfId="1769"/>
    <cellStyle name="Comma 2 2 2 3" xfId="1770"/>
    <cellStyle name="Comma 2 2 2 4" xfId="1771"/>
    <cellStyle name="Comma 2 2 2 5" xfId="1772"/>
    <cellStyle name="Comma 2 2 2 6" xfId="1773"/>
    <cellStyle name="Comma 2 2 2 7" xfId="1774"/>
    <cellStyle name="Comma 2 2 2 8" xfId="1775"/>
    <cellStyle name="Comma 2 2 2 9" xfId="1776"/>
    <cellStyle name="Comma 2 2 20" xfId="1777"/>
    <cellStyle name="Comma 2 2 21" xfId="1778"/>
    <cellStyle name="Comma 2 2 22" xfId="1779"/>
    <cellStyle name="Comma 2 2 23" xfId="1780"/>
    <cellStyle name="Comma 2 2 24" xfId="1781"/>
    <cellStyle name="Comma 2 2 24 2" xfId="1782"/>
    <cellStyle name="Comma 2 2 25" xfId="1783"/>
    <cellStyle name="Comma 2 2 3" xfId="1784"/>
    <cellStyle name="Comma 2 2 3 2" xfId="1785"/>
    <cellStyle name="Comma 2 2 4" xfId="1786"/>
    <cellStyle name="Comma 2 2 5" xfId="1787"/>
    <cellStyle name="Comma 2 2 6" xfId="1788"/>
    <cellStyle name="Comma 2 2 7" xfId="1789"/>
    <cellStyle name="Comma 2 2 8" xfId="1790"/>
    <cellStyle name="Comma 2 2 9" xfId="1791"/>
    <cellStyle name="Comma 2 2_05-12  KH trung han 2016-2020 - Liem Thinh edited" xfId="1792"/>
    <cellStyle name="Comma 2 20" xfId="1793"/>
    <cellStyle name="Comma 2 21" xfId="1794"/>
    <cellStyle name="Comma 2 22" xfId="1795"/>
    <cellStyle name="Comma 2 23" xfId="1796"/>
    <cellStyle name="Comma 2 24" xfId="1797"/>
    <cellStyle name="Comma 2 25" xfId="1798"/>
    <cellStyle name="Comma 2 26" xfId="1799"/>
    <cellStyle name="Comma 2 26 2" xfId="1800"/>
    <cellStyle name="Comma 2 27" xfId="1801"/>
    <cellStyle name="Comma 2 3" xfId="1802"/>
    <cellStyle name="Comma 2 3 2" xfId="1803"/>
    <cellStyle name="Comma 2 3 2 2" xfId="1804"/>
    <cellStyle name="Comma 2 3 2 3" xfId="1805"/>
    <cellStyle name="Comma 2 3 3" xfId="1806"/>
    <cellStyle name="Comma 2 4" xfId="1807"/>
    <cellStyle name="Comma 2 4 2" xfId="1808"/>
    <cellStyle name="Comma 2 5" xfId="1809"/>
    <cellStyle name="Comma 2 5 2" xfId="1810"/>
    <cellStyle name="Comma 2 5 3" xfId="1811"/>
    <cellStyle name="Comma 2 6" xfId="1812"/>
    <cellStyle name="Comma 2 7" xfId="1813"/>
    <cellStyle name="Comma 2 8" xfId="1814"/>
    <cellStyle name="Comma 2 9" xfId="1815"/>
    <cellStyle name="Comma 2_05-12  KH trung han 2016-2020 - Liem Thinh edited" xfId="1816"/>
    <cellStyle name="Comma 20" xfId="1817"/>
    <cellStyle name="Comma 20 2" xfId="1818"/>
    <cellStyle name="Comma 20 3" xfId="1819"/>
    <cellStyle name="Comma 21" xfId="1820"/>
    <cellStyle name="Comma 21 2" xfId="1821"/>
    <cellStyle name="Comma 21 3" xfId="1822"/>
    <cellStyle name="Comma 22" xfId="1823"/>
    <cellStyle name="Comma 22 2" xfId="1824"/>
    <cellStyle name="Comma 22 3" xfId="1825"/>
    <cellStyle name="Comma 23" xfId="1826"/>
    <cellStyle name="Comma 23 2" xfId="1827"/>
    <cellStyle name="Comma 23 3" xfId="1828"/>
    <cellStyle name="Comma 24" xfId="1829"/>
    <cellStyle name="Comma 24 2" xfId="1830"/>
    <cellStyle name="Comma 25" xfId="1831"/>
    <cellStyle name="Comma 25 2" xfId="1832"/>
    <cellStyle name="Comma 26" xfId="1833"/>
    <cellStyle name="Comma 26 2" xfId="1834"/>
    <cellStyle name="Comma 27" xfId="1835"/>
    <cellStyle name="Comma 27 2" xfId="1836"/>
    <cellStyle name="Comma 28" xfId="1837"/>
    <cellStyle name="Comma 28 2" xfId="1838"/>
    <cellStyle name="Comma 29" xfId="1839"/>
    <cellStyle name="Comma 29 2" xfId="1840"/>
    <cellStyle name="Comma 3" xfId="38"/>
    <cellStyle name="Comma 3 2" xfId="37"/>
    <cellStyle name="Comma 3 2 10" xfId="1841"/>
    <cellStyle name="Comma 3 2 11" xfId="1842"/>
    <cellStyle name="Comma 3 2 12" xfId="1843"/>
    <cellStyle name="Comma 3 2 13" xfId="1844"/>
    <cellStyle name="Comma 3 2 14" xfId="1845"/>
    <cellStyle name="Comma 3 2 15" xfId="1846"/>
    <cellStyle name="Comma 3 2 2" xfId="1847"/>
    <cellStyle name="Comma 3 2 2 2" xfId="1848"/>
    <cellStyle name="Comma 3 2 2 3" xfId="1849"/>
    <cellStyle name="Comma 3 2 3" xfId="1850"/>
    <cellStyle name="Comma 3 2 3 2" xfId="1851"/>
    <cellStyle name="Comma 3 2 3 3" xfId="1852"/>
    <cellStyle name="Comma 3 2 4" xfId="1853"/>
    <cellStyle name="Comma 3 2 5" xfId="1854"/>
    <cellStyle name="Comma 3 2 6" xfId="1855"/>
    <cellStyle name="Comma 3 2 7" xfId="1856"/>
    <cellStyle name="Comma 3 2 8" xfId="1857"/>
    <cellStyle name="Comma 3 2 9" xfId="1858"/>
    <cellStyle name="Comma 3 3" xfId="44"/>
    <cellStyle name="Comma 3 3 2" xfId="1859"/>
    <cellStyle name="Comma 3 3 3" xfId="1860"/>
    <cellStyle name="Comma 3 4" xfId="1861"/>
    <cellStyle name="Comma 3 4 2" xfId="1862"/>
    <cellStyle name="Comma 3 4 3" xfId="1863"/>
    <cellStyle name="Comma 3 5" xfId="1864"/>
    <cellStyle name="Comma 3 5 2" xfId="1865"/>
    <cellStyle name="Comma 3 6" xfId="1866"/>
    <cellStyle name="Comma 3 6 2" xfId="1867"/>
    <cellStyle name="Comma 3_Biểu 14 - KH2015 dự án ODA" xfId="1868"/>
    <cellStyle name="Comma 30" xfId="1869"/>
    <cellStyle name="Comma 30 2" xfId="1870"/>
    <cellStyle name="Comma 31" xfId="1871"/>
    <cellStyle name="Comma 31 2" xfId="1872"/>
    <cellStyle name="Comma 32" xfId="1873"/>
    <cellStyle name="Comma 32 2" xfId="1874"/>
    <cellStyle name="Comma 32 2 2" xfId="1875"/>
    <cellStyle name="Comma 32 3" xfId="1876"/>
    <cellStyle name="Comma 33" xfId="1877"/>
    <cellStyle name="Comma 33 2" xfId="1878"/>
    <cellStyle name="Comma 34" xfId="1879"/>
    <cellStyle name="Comma 34 2" xfId="1880"/>
    <cellStyle name="Comma 35" xfId="1881"/>
    <cellStyle name="Comma 35 2" xfId="1882"/>
    <cellStyle name="Comma 35 3" xfId="1883"/>
    <cellStyle name="Comma 35 3 2" xfId="1884"/>
    <cellStyle name="Comma 35 4" xfId="1885"/>
    <cellStyle name="Comma 35 4 2" xfId="1886"/>
    <cellStyle name="Comma 36" xfId="1887"/>
    <cellStyle name="Comma 36 2" xfId="1888"/>
    <cellStyle name="Comma 37" xfId="1889"/>
    <cellStyle name="Comma 37 2" xfId="1890"/>
    <cellStyle name="Comma 38" xfId="1891"/>
    <cellStyle name="Comma 39" xfId="1892"/>
    <cellStyle name="Comma 39 2" xfId="1893"/>
    <cellStyle name="Comma 4" xfId="45"/>
    <cellStyle name="Comma 4 10" xfId="58"/>
    <cellStyle name="Comma 4 10 2" xfId="59"/>
    <cellStyle name="Comma 4 10 3" xfId="60"/>
    <cellStyle name="Comma 4 11" xfId="1894"/>
    <cellStyle name="Comma 4 12" xfId="1895"/>
    <cellStyle name="Comma 4 13" xfId="1896"/>
    <cellStyle name="Comma 4 14" xfId="1897"/>
    <cellStyle name="Comma 4 15" xfId="1898"/>
    <cellStyle name="Comma 4 16" xfId="1899"/>
    <cellStyle name="Comma 4 17" xfId="1900"/>
    <cellStyle name="Comma 4 18" xfId="1901"/>
    <cellStyle name="Comma 4 19" xfId="1902"/>
    <cellStyle name="Comma 4 2" xfId="36"/>
    <cellStyle name="Comma 4 2 2" xfId="1903"/>
    <cellStyle name="Comma 4 3" xfId="1904"/>
    <cellStyle name="Comma 4 3 2" xfId="1905"/>
    <cellStyle name="Comma 4 3 2 2" xfId="1906"/>
    <cellStyle name="Comma 4 3 3" xfId="1907"/>
    <cellStyle name="Comma 4 4" xfId="1908"/>
    <cellStyle name="Comma 4 4 2" xfId="1909"/>
    <cellStyle name="Comma 4 4 3" xfId="1910"/>
    <cellStyle name="Comma 4 4 4" xfId="1911"/>
    <cellStyle name="Comma 4 5" xfId="1912"/>
    <cellStyle name="Comma 4 6" xfId="1913"/>
    <cellStyle name="Comma 4 7" xfId="1914"/>
    <cellStyle name="Comma 4 8" xfId="1915"/>
    <cellStyle name="Comma 4 9" xfId="1916"/>
    <cellStyle name="Comma 4_Bieu Bao cao no XDCB den 31.12.14 Le Thuy" xfId="61"/>
    <cellStyle name="Comma 40" xfId="1917"/>
    <cellStyle name="Comma 40 2" xfId="1918"/>
    <cellStyle name="Comma 41" xfId="1919"/>
    <cellStyle name="Comma 42" xfId="1920"/>
    <cellStyle name="Comma 43" xfId="1921"/>
    <cellStyle name="Comma 44" xfId="1922"/>
    <cellStyle name="Comma 45" xfId="1923"/>
    <cellStyle name="Comma 46" xfId="1924"/>
    <cellStyle name="Comma 47" xfId="1925"/>
    <cellStyle name="Comma 48" xfId="1926"/>
    <cellStyle name="Comma 49" xfId="1927"/>
    <cellStyle name="Comma 5" xfId="62"/>
    <cellStyle name="Comma 5 10" xfId="1928"/>
    <cellStyle name="Comma 5 11" xfId="1929"/>
    <cellStyle name="Comma 5 12" xfId="1930"/>
    <cellStyle name="Comma 5 13" xfId="1931"/>
    <cellStyle name="Comma 5 14" xfId="1932"/>
    <cellStyle name="Comma 5 15" xfId="1933"/>
    <cellStyle name="Comma 5 16" xfId="1934"/>
    <cellStyle name="Comma 5 17" xfId="1935"/>
    <cellStyle name="Comma 5 17 2" xfId="1936"/>
    <cellStyle name="Comma 5 18" xfId="1937"/>
    <cellStyle name="Comma 5 19" xfId="1938"/>
    <cellStyle name="Comma 5 2" xfId="63"/>
    <cellStyle name="Comma 5 2 2" xfId="1939"/>
    <cellStyle name="Comma 5 20" xfId="1940"/>
    <cellStyle name="Comma 5 3" xfId="1941"/>
    <cellStyle name="Comma 5 3 2" xfId="1942"/>
    <cellStyle name="Comma 5 4" xfId="1943"/>
    <cellStyle name="Comma 5 4 2" xfId="1944"/>
    <cellStyle name="Comma 5 5" xfId="1945"/>
    <cellStyle name="Comma 5 5 2" xfId="1946"/>
    <cellStyle name="Comma 5 6" xfId="1947"/>
    <cellStyle name="Comma 5 7" xfId="1948"/>
    <cellStyle name="Comma 5 8" xfId="1949"/>
    <cellStyle name="Comma 5 9" xfId="1950"/>
    <cellStyle name="Comma 5_05-12  KH trung han 2016-2020 - Liem Thinh edited" xfId="1951"/>
    <cellStyle name="Comma 50" xfId="1952"/>
    <cellStyle name="Comma 50 2" xfId="1953"/>
    <cellStyle name="Comma 51" xfId="1954"/>
    <cellStyle name="Comma 51 2" xfId="1955"/>
    <cellStyle name="Comma 52" xfId="1956"/>
    <cellStyle name="Comma 53" xfId="4304"/>
    <cellStyle name="Comma 54" xfId="4309"/>
    <cellStyle name="Comma 6" xfId="64"/>
    <cellStyle name="Comma 6 2" xfId="1957"/>
    <cellStyle name="Comma 6 2 2" xfId="1958"/>
    <cellStyle name="Comma 6 3" xfId="1959"/>
    <cellStyle name="Comma 6 4" xfId="1960"/>
    <cellStyle name="Comma 7" xfId="41"/>
    <cellStyle name="Comma 7 2" xfId="1961"/>
    <cellStyle name="Comma 7 3" xfId="1962"/>
    <cellStyle name="Comma 7 3 2" xfId="1963"/>
    <cellStyle name="Comma 7_20131129 Nhu cau 2014_TPCP ODA (co hoan ung)" xfId="1964"/>
    <cellStyle name="Comma 8" xfId="28"/>
    <cellStyle name="Comma 8 2" xfId="1965"/>
    <cellStyle name="Comma 8 2 2" xfId="1966"/>
    <cellStyle name="Comma 8 3" xfId="1967"/>
    <cellStyle name="Comma 8 4" xfId="1968"/>
    <cellStyle name="Comma 9" xfId="65"/>
    <cellStyle name="Comma 9 2" xfId="1969"/>
    <cellStyle name="Comma 9 2 2" xfId="1970"/>
    <cellStyle name="Comma 9 2 3" xfId="1971"/>
    <cellStyle name="Comma 9 3" xfId="1972"/>
    <cellStyle name="Comma 9 3 2" xfId="1973"/>
    <cellStyle name="Comma 9 4" xfId="1974"/>
    <cellStyle name="Comma 9 5" xfId="1975"/>
    <cellStyle name="comma zerodec" xfId="1976"/>
    <cellStyle name="Comma_Bieu no XDCB den NS tinh bc HDND tinh no 162 ty 09.6.2015" xfId="4306"/>
    <cellStyle name="Comma_Ke hoach DTPT NS tinh 2016" xfId="20"/>
    <cellStyle name="Comma_Ke hoach DTPT NS tinh 2016_PA bc UBND tỉnh" xfId="4305"/>
    <cellStyle name="Comma_Ke hoach DTPT NS tinh 2016_PA bc UBND tỉnh 2" xfId="52"/>
    <cellStyle name="Comma_Trung han 2016-2020 (theo ti le 15%) CS 17.11" xfId="31"/>
    <cellStyle name="Comma0" xfId="1977"/>
    <cellStyle name="Comma0 10" xfId="1978"/>
    <cellStyle name="Comma0 11" xfId="1979"/>
    <cellStyle name="Comma0 12" xfId="1980"/>
    <cellStyle name="Comma0 13" xfId="1981"/>
    <cellStyle name="Comma0 14" xfId="1982"/>
    <cellStyle name="Comma0 15" xfId="1983"/>
    <cellStyle name="Comma0 16" xfId="1984"/>
    <cellStyle name="Comma0 2" xfId="1985"/>
    <cellStyle name="Comma0 2 2" xfId="1986"/>
    <cellStyle name="Comma0 3" xfId="1987"/>
    <cellStyle name="Comma0 4" xfId="1988"/>
    <cellStyle name="Comma0 5" xfId="1989"/>
    <cellStyle name="Comma0 6" xfId="1990"/>
    <cellStyle name="Comma0 7" xfId="1991"/>
    <cellStyle name="Comma0 8" xfId="1992"/>
    <cellStyle name="Comma0 9" xfId="1993"/>
    <cellStyle name="Company Name" xfId="1994"/>
    <cellStyle name="cong" xfId="1995"/>
    <cellStyle name="Copied" xfId="1996"/>
    <cellStyle name="Co聭ma_Sheet1" xfId="1997"/>
    <cellStyle name="CR Comma" xfId="1998"/>
    <cellStyle name="CR Currency" xfId="1999"/>
    <cellStyle name="Credit" xfId="2000"/>
    <cellStyle name="Credit subtotal" xfId="2001"/>
    <cellStyle name="Credit Total" xfId="2002"/>
    <cellStyle name="Cࡵrrency_Sheet1_PRODUCTĠ" xfId="2003"/>
    <cellStyle name="Curråncy [0]_FCST_RESULTS" xfId="2004"/>
    <cellStyle name="Currency %" xfId="2005"/>
    <cellStyle name="Currency % 10" xfId="2006"/>
    <cellStyle name="Currency % 11" xfId="2007"/>
    <cellStyle name="Currency % 12" xfId="2008"/>
    <cellStyle name="Currency % 13" xfId="2009"/>
    <cellStyle name="Currency % 14" xfId="2010"/>
    <cellStyle name="Currency % 15" xfId="2011"/>
    <cellStyle name="Currency % 2" xfId="2012"/>
    <cellStyle name="Currency % 3" xfId="2013"/>
    <cellStyle name="Currency % 4" xfId="2014"/>
    <cellStyle name="Currency % 5" xfId="2015"/>
    <cellStyle name="Currency % 6" xfId="2016"/>
    <cellStyle name="Currency % 7" xfId="2017"/>
    <cellStyle name="Currency % 8" xfId="2018"/>
    <cellStyle name="Currency % 9" xfId="2019"/>
    <cellStyle name="Currency %_05-12  KH trung han 2016-2020 - Liem Thinh edited" xfId="2020"/>
    <cellStyle name="Currency [0]ßmud plant bolted_RESULTS" xfId="2021"/>
    <cellStyle name="Currency [00]" xfId="2022"/>
    <cellStyle name="Currency [00] 10" xfId="2023"/>
    <cellStyle name="Currency [00] 11" xfId="2024"/>
    <cellStyle name="Currency [00] 12" xfId="2025"/>
    <cellStyle name="Currency [00] 13" xfId="2026"/>
    <cellStyle name="Currency [00] 14" xfId="2027"/>
    <cellStyle name="Currency [00] 15" xfId="2028"/>
    <cellStyle name="Currency [00] 16" xfId="2029"/>
    <cellStyle name="Currency [00] 2" xfId="2030"/>
    <cellStyle name="Currency [00] 3" xfId="2031"/>
    <cellStyle name="Currency [00] 4" xfId="2032"/>
    <cellStyle name="Currency [00] 5" xfId="2033"/>
    <cellStyle name="Currency [00] 6" xfId="2034"/>
    <cellStyle name="Currency [00] 7" xfId="2035"/>
    <cellStyle name="Currency [00] 8" xfId="2036"/>
    <cellStyle name="Currency [00] 9" xfId="2037"/>
    <cellStyle name="Currency 0.0" xfId="2038"/>
    <cellStyle name="Currency 0.0%" xfId="2039"/>
    <cellStyle name="Currency 0.0_05-12  KH trung han 2016-2020 - Liem Thinh edited" xfId="2040"/>
    <cellStyle name="Currency 0.00" xfId="2041"/>
    <cellStyle name="Currency 0.00%" xfId="2042"/>
    <cellStyle name="Currency 0.00_05-12  KH trung han 2016-2020 - Liem Thinh edited" xfId="2043"/>
    <cellStyle name="Currency 0.000" xfId="2044"/>
    <cellStyle name="Currency 0.000%" xfId="2045"/>
    <cellStyle name="Currency 0.000_05-12  KH trung han 2016-2020 - Liem Thinh edited" xfId="2046"/>
    <cellStyle name="Currency 2" xfId="2047"/>
    <cellStyle name="Currency 2 10" xfId="2048"/>
    <cellStyle name="Currency 2 11" xfId="2049"/>
    <cellStyle name="Currency 2 12" xfId="2050"/>
    <cellStyle name="Currency 2 13" xfId="2051"/>
    <cellStyle name="Currency 2 14" xfId="2052"/>
    <cellStyle name="Currency 2 15" xfId="2053"/>
    <cellStyle name="Currency 2 16" xfId="2054"/>
    <cellStyle name="Currency 2 2" xfId="2055"/>
    <cellStyle name="Currency 2 3" xfId="2056"/>
    <cellStyle name="Currency 2 4" xfId="2057"/>
    <cellStyle name="Currency 2 5" xfId="2058"/>
    <cellStyle name="Currency 2 6" xfId="2059"/>
    <cellStyle name="Currency 2 7" xfId="2060"/>
    <cellStyle name="Currency 2 8" xfId="2061"/>
    <cellStyle name="Currency 2 9" xfId="2062"/>
    <cellStyle name="Currency![0]_FCSt (2)" xfId="2063"/>
    <cellStyle name="Currency0" xfId="2064"/>
    <cellStyle name="Currency0 10" xfId="2065"/>
    <cellStyle name="Currency0 11" xfId="2066"/>
    <cellStyle name="Currency0 12" xfId="2067"/>
    <cellStyle name="Currency0 13" xfId="2068"/>
    <cellStyle name="Currency0 14" xfId="2069"/>
    <cellStyle name="Currency0 15" xfId="2070"/>
    <cellStyle name="Currency0 16" xfId="2071"/>
    <cellStyle name="Currency0 2" xfId="2072"/>
    <cellStyle name="Currency0 2 2" xfId="2073"/>
    <cellStyle name="Currency0 3" xfId="2074"/>
    <cellStyle name="Currency0 4" xfId="2075"/>
    <cellStyle name="Currency0 5" xfId="2076"/>
    <cellStyle name="Currency0 6" xfId="2077"/>
    <cellStyle name="Currency0 7" xfId="2078"/>
    <cellStyle name="Currency0 8" xfId="2079"/>
    <cellStyle name="Currency0 9" xfId="2080"/>
    <cellStyle name="Currency1" xfId="2081"/>
    <cellStyle name="Currency1 10" xfId="2082"/>
    <cellStyle name="Currency1 11" xfId="2083"/>
    <cellStyle name="Currency1 12" xfId="2084"/>
    <cellStyle name="Currency1 13" xfId="2085"/>
    <cellStyle name="Currency1 14" xfId="2086"/>
    <cellStyle name="Currency1 15" xfId="2087"/>
    <cellStyle name="Currency1 16" xfId="2088"/>
    <cellStyle name="Currency1 2" xfId="2089"/>
    <cellStyle name="Currency1 2 2" xfId="2090"/>
    <cellStyle name="Currency1 3" xfId="2091"/>
    <cellStyle name="Currency1 4" xfId="2092"/>
    <cellStyle name="Currency1 5" xfId="2093"/>
    <cellStyle name="Currency1 6" xfId="2094"/>
    <cellStyle name="Currency1 7" xfId="2095"/>
    <cellStyle name="Currency1 8" xfId="2096"/>
    <cellStyle name="Currency1 9" xfId="2097"/>
    <cellStyle name="Check Cell 2" xfId="1592"/>
    <cellStyle name="Chi phÝ kh¸c_Book1" xfId="1593"/>
    <cellStyle name="CHUONG" xfId="1594"/>
    <cellStyle name="D1" xfId="2098"/>
    <cellStyle name="Date" xfId="2099"/>
    <cellStyle name="Date 10" xfId="2100"/>
    <cellStyle name="Date 11" xfId="2101"/>
    <cellStyle name="Date 12" xfId="2102"/>
    <cellStyle name="Date 13" xfId="2103"/>
    <cellStyle name="Date 14" xfId="2104"/>
    <cellStyle name="Date 15" xfId="2105"/>
    <cellStyle name="Date 16" xfId="2106"/>
    <cellStyle name="Date 2" xfId="2107"/>
    <cellStyle name="Date 2 2" xfId="2108"/>
    <cellStyle name="Date 3" xfId="2109"/>
    <cellStyle name="Date 4" xfId="2110"/>
    <cellStyle name="Date 5" xfId="2111"/>
    <cellStyle name="Date 6" xfId="2112"/>
    <cellStyle name="Date 7" xfId="2113"/>
    <cellStyle name="Date 8" xfId="2114"/>
    <cellStyle name="Date 9" xfId="2115"/>
    <cellStyle name="Date Short" xfId="2116"/>
    <cellStyle name="Date Short 2" xfId="2117"/>
    <cellStyle name="Date_Book1" xfId="2118"/>
    <cellStyle name="DAUDE" xfId="2120"/>
    <cellStyle name="Dấu phẩy 2" xfId="3"/>
    <cellStyle name="Dấu_phảy 2" xfId="2119"/>
    <cellStyle name="Debit" xfId="2121"/>
    <cellStyle name="Debit subtotal" xfId="2122"/>
    <cellStyle name="Debit Total" xfId="2123"/>
    <cellStyle name="DELTA" xfId="2124"/>
    <cellStyle name="DELTA 10" xfId="2125"/>
    <cellStyle name="DELTA 11" xfId="2126"/>
    <cellStyle name="DELTA 12" xfId="2127"/>
    <cellStyle name="DELTA 13" xfId="2128"/>
    <cellStyle name="DELTA 14" xfId="2129"/>
    <cellStyle name="DELTA 15" xfId="2130"/>
    <cellStyle name="DELTA 2" xfId="2131"/>
    <cellStyle name="DELTA 3" xfId="2132"/>
    <cellStyle name="DELTA 4" xfId="2133"/>
    <cellStyle name="DELTA 5" xfId="2134"/>
    <cellStyle name="DELTA 6" xfId="2135"/>
    <cellStyle name="DELTA 7" xfId="2136"/>
    <cellStyle name="DELTA 8" xfId="2137"/>
    <cellStyle name="DELTA 9" xfId="2138"/>
    <cellStyle name="Dezimal [0]_35ERI8T2gbIEMixb4v26icuOo" xfId="2139"/>
    <cellStyle name="Dezimal_35ERI8T2gbIEMixb4v26icuOo" xfId="2140"/>
    <cellStyle name="Dg" xfId="2141"/>
    <cellStyle name="Dgia" xfId="2142"/>
    <cellStyle name="Dgia 2" xfId="2143"/>
    <cellStyle name="Dollar (zero dec)" xfId="2144"/>
    <cellStyle name="Dollar (zero dec) 10" xfId="2145"/>
    <cellStyle name="Dollar (zero dec) 11" xfId="2146"/>
    <cellStyle name="Dollar (zero dec) 12" xfId="2147"/>
    <cellStyle name="Dollar (zero dec) 13" xfId="2148"/>
    <cellStyle name="Dollar (zero dec) 14" xfId="2149"/>
    <cellStyle name="Dollar (zero dec) 15" xfId="2150"/>
    <cellStyle name="Dollar (zero dec) 16" xfId="2151"/>
    <cellStyle name="Dollar (zero dec) 2" xfId="2152"/>
    <cellStyle name="Dollar (zero dec) 2 2" xfId="2153"/>
    <cellStyle name="Dollar (zero dec) 3" xfId="2154"/>
    <cellStyle name="Dollar (zero dec) 4" xfId="2155"/>
    <cellStyle name="Dollar (zero dec) 5" xfId="2156"/>
    <cellStyle name="Dollar (zero dec) 6" xfId="2157"/>
    <cellStyle name="Dollar (zero dec) 7" xfId="2158"/>
    <cellStyle name="Dollar (zero dec) 8" xfId="2159"/>
    <cellStyle name="Dollar (zero dec) 9" xfId="2160"/>
    <cellStyle name="Don gia" xfId="2161"/>
    <cellStyle name="Dziesi?tny [0]_Invoices2001Slovakia" xfId="2162"/>
    <cellStyle name="Dziesi?tny_Invoices2001Slovakia" xfId="2163"/>
    <cellStyle name="Dziesietny [0]_Invoices2001Slovakia" xfId="2164"/>
    <cellStyle name="Dziesiętny [0]_Invoices2001Slovakia" xfId="2165"/>
    <cellStyle name="Dziesietny [0]_Invoices2001Slovakia 2" xfId="2166"/>
    <cellStyle name="Dziesiętny [0]_Invoices2001Slovakia 2" xfId="2167"/>
    <cellStyle name="Dziesietny [0]_Invoices2001Slovakia 3" xfId="2168"/>
    <cellStyle name="Dziesiętny [0]_Invoices2001Slovakia 3" xfId="2169"/>
    <cellStyle name="Dziesietny [0]_Invoices2001Slovakia 4" xfId="2170"/>
    <cellStyle name="Dziesiętny [0]_Invoices2001Slovakia 4" xfId="2171"/>
    <cellStyle name="Dziesietny [0]_Invoices2001Slovakia 5" xfId="2172"/>
    <cellStyle name="Dziesiętny [0]_Invoices2001Slovakia 5" xfId="2173"/>
    <cellStyle name="Dziesietny [0]_Invoices2001Slovakia 6" xfId="2174"/>
    <cellStyle name="Dziesiętny [0]_Invoices2001Slovakia 6" xfId="2175"/>
    <cellStyle name="Dziesietny [0]_Invoices2001Slovakia 7" xfId="2176"/>
    <cellStyle name="Dziesiętny [0]_Invoices2001Slovakia 7" xfId="2177"/>
    <cellStyle name="Dziesietny [0]_Invoices2001Slovakia_01_Nha so 1_Dien" xfId="2178"/>
    <cellStyle name="Dziesiętny [0]_Invoices2001Slovakia_01_Nha so 1_Dien" xfId="2179"/>
    <cellStyle name="Dziesietny [0]_Invoices2001Slovakia_05-12  KH trung han 2016-2020 - Liem Thinh edited" xfId="2180"/>
    <cellStyle name="Dziesiętny [0]_Invoices2001Slovakia_05-12  KH trung han 2016-2020 - Liem Thinh edited" xfId="2181"/>
    <cellStyle name="Dziesietny [0]_Invoices2001Slovakia_10_Nha so 10_Dien1" xfId="2182"/>
    <cellStyle name="Dziesiętny [0]_Invoices2001Slovakia_10_Nha so 10_Dien1" xfId="2183"/>
    <cellStyle name="Dziesietny [0]_Invoices2001Slovakia_Book1" xfId="2184"/>
    <cellStyle name="Dziesiętny [0]_Invoices2001Slovakia_Book1" xfId="2185"/>
    <cellStyle name="Dziesietny [0]_Invoices2001Slovakia_Book1_1" xfId="2186"/>
    <cellStyle name="Dziesiętny [0]_Invoices2001Slovakia_Book1_1" xfId="2187"/>
    <cellStyle name="Dziesietny [0]_Invoices2001Slovakia_Book1_1_Book1" xfId="2188"/>
    <cellStyle name="Dziesiętny [0]_Invoices2001Slovakia_Book1_1_Book1" xfId="2189"/>
    <cellStyle name="Dziesietny [0]_Invoices2001Slovakia_Book1_2" xfId="2190"/>
    <cellStyle name="Dziesiętny [0]_Invoices2001Slovakia_Book1_2" xfId="2191"/>
    <cellStyle name="Dziesietny [0]_Invoices2001Slovakia_Book1_Nhu cau von ung truoc 2011 Tha h Hoa + Nge An gui TW" xfId="2192"/>
    <cellStyle name="Dziesiętny [0]_Invoices2001Slovakia_Book1_Nhu cau von ung truoc 2011 Tha h Hoa + Nge An gui TW" xfId="2193"/>
    <cellStyle name="Dziesietny [0]_Invoices2001Slovakia_Book1_Tong hop Cac tuyen(9-1-06)" xfId="2194"/>
    <cellStyle name="Dziesiętny [0]_Invoices2001Slovakia_Book1_Tong hop Cac tuyen(9-1-06)" xfId="2195"/>
    <cellStyle name="Dziesietny [0]_Invoices2001Slovakia_Book1_ung truoc 2011 NSTW Thanh Hoa + Nge An gui Thu 12-5" xfId="2196"/>
    <cellStyle name="Dziesiętny [0]_Invoices2001Slovakia_Book1_ung truoc 2011 NSTW Thanh Hoa + Nge An gui Thu 12-5" xfId="2197"/>
    <cellStyle name="Dziesietny [0]_Invoices2001Slovakia_Copy of 05-12  KH trung han 2016-2020 - Liem Thinh edited (1)" xfId="2198"/>
    <cellStyle name="Dziesiętny [0]_Invoices2001Slovakia_Copy of 05-12  KH trung han 2016-2020 - Liem Thinh edited (1)" xfId="2199"/>
    <cellStyle name="Dziesietny [0]_Invoices2001Slovakia_d-uong+TDT" xfId="2200"/>
    <cellStyle name="Dziesiętny [0]_Invoices2001Slovakia_KH TPCP 2016-2020 (tong hop)" xfId="2201"/>
    <cellStyle name="Dziesietny [0]_Invoices2001Slovakia_Nha bao ve(28-7-05)" xfId="2202"/>
    <cellStyle name="Dziesiętny [0]_Invoices2001Slovakia_Nha bao ve(28-7-05)" xfId="2203"/>
    <cellStyle name="Dziesietny [0]_Invoices2001Slovakia_NHA de xe nguyen du" xfId="2204"/>
    <cellStyle name="Dziesiętny [0]_Invoices2001Slovakia_NHA de xe nguyen du" xfId="2205"/>
    <cellStyle name="Dziesietny [0]_Invoices2001Slovakia_Nhalamviec VTC(25-1-05)" xfId="2206"/>
    <cellStyle name="Dziesiętny [0]_Invoices2001Slovakia_Nhalamviec VTC(25-1-05)" xfId="2207"/>
    <cellStyle name="Dziesietny [0]_Invoices2001Slovakia_Nhu cau von ung truoc 2011 Tha h Hoa + Nge An gui TW" xfId="2208"/>
    <cellStyle name="Dziesiętny [0]_Invoices2001Slovakia_TDT KHANH HOA" xfId="2209"/>
    <cellStyle name="Dziesietny [0]_Invoices2001Slovakia_TDT KHANH HOA_Tong hop Cac tuyen(9-1-06)" xfId="2210"/>
    <cellStyle name="Dziesiętny [0]_Invoices2001Slovakia_TDT KHANH HOA_Tong hop Cac tuyen(9-1-06)" xfId="2211"/>
    <cellStyle name="Dziesietny [0]_Invoices2001Slovakia_TDT quangngai" xfId="2212"/>
    <cellStyle name="Dziesiętny [0]_Invoices2001Slovakia_TDT quangngai" xfId="2213"/>
    <cellStyle name="Dziesietny [0]_Invoices2001Slovakia_TMDT(10-5-06)" xfId="2214"/>
    <cellStyle name="Dziesietny_Invoices2001Slovakia" xfId="2215"/>
    <cellStyle name="Dziesiętny_Invoices2001Slovakia" xfId="2216"/>
    <cellStyle name="Dziesietny_Invoices2001Slovakia 2" xfId="2217"/>
    <cellStyle name="Dziesiętny_Invoices2001Slovakia 2" xfId="2218"/>
    <cellStyle name="Dziesietny_Invoices2001Slovakia 3" xfId="2219"/>
    <cellStyle name="Dziesiętny_Invoices2001Slovakia 3" xfId="2220"/>
    <cellStyle name="Dziesietny_Invoices2001Slovakia 4" xfId="2221"/>
    <cellStyle name="Dziesiętny_Invoices2001Slovakia 4" xfId="2222"/>
    <cellStyle name="Dziesietny_Invoices2001Slovakia 5" xfId="2223"/>
    <cellStyle name="Dziesiętny_Invoices2001Slovakia 5" xfId="2224"/>
    <cellStyle name="Dziesietny_Invoices2001Slovakia 6" xfId="2225"/>
    <cellStyle name="Dziesiętny_Invoices2001Slovakia 6" xfId="2226"/>
    <cellStyle name="Dziesietny_Invoices2001Slovakia 7" xfId="2227"/>
    <cellStyle name="Dziesiętny_Invoices2001Slovakia 7" xfId="2228"/>
    <cellStyle name="Dziesietny_Invoices2001Slovakia_01_Nha so 1_Dien" xfId="2229"/>
    <cellStyle name="Dziesiętny_Invoices2001Slovakia_01_Nha so 1_Dien" xfId="2230"/>
    <cellStyle name="Dziesietny_Invoices2001Slovakia_05-12  KH trung han 2016-2020 - Liem Thinh edited" xfId="2231"/>
    <cellStyle name="Dziesiętny_Invoices2001Slovakia_05-12  KH trung han 2016-2020 - Liem Thinh edited" xfId="2232"/>
    <cellStyle name="Dziesietny_Invoices2001Slovakia_10_Nha so 10_Dien1" xfId="2233"/>
    <cellStyle name="Dziesiętny_Invoices2001Slovakia_10_Nha so 10_Dien1" xfId="2234"/>
    <cellStyle name="Dziesietny_Invoices2001Slovakia_Book1" xfId="2235"/>
    <cellStyle name="Dziesiętny_Invoices2001Slovakia_Book1" xfId="2236"/>
    <cellStyle name="Dziesietny_Invoices2001Slovakia_Book1_1" xfId="2237"/>
    <cellStyle name="Dziesiętny_Invoices2001Slovakia_Book1_1" xfId="2238"/>
    <cellStyle name="Dziesietny_Invoices2001Slovakia_Book1_1_Book1" xfId="2239"/>
    <cellStyle name="Dziesiętny_Invoices2001Slovakia_Book1_1_Book1" xfId="2240"/>
    <cellStyle name="Dziesietny_Invoices2001Slovakia_Book1_2" xfId="2241"/>
    <cellStyle name="Dziesiętny_Invoices2001Slovakia_Book1_2" xfId="2242"/>
    <cellStyle name="Dziesietny_Invoices2001Slovakia_Book1_Nhu cau von ung truoc 2011 Tha h Hoa + Nge An gui TW" xfId="2243"/>
    <cellStyle name="Dziesiętny_Invoices2001Slovakia_Book1_Nhu cau von ung truoc 2011 Tha h Hoa + Nge An gui TW" xfId="2244"/>
    <cellStyle name="Dziesietny_Invoices2001Slovakia_Book1_Tong hop Cac tuyen(9-1-06)" xfId="2245"/>
    <cellStyle name="Dziesiętny_Invoices2001Slovakia_Book1_Tong hop Cac tuyen(9-1-06)" xfId="2246"/>
    <cellStyle name="Dziesietny_Invoices2001Slovakia_Book1_ung truoc 2011 NSTW Thanh Hoa + Nge An gui Thu 12-5" xfId="2247"/>
    <cellStyle name="Dziesiętny_Invoices2001Slovakia_Book1_ung truoc 2011 NSTW Thanh Hoa + Nge An gui Thu 12-5" xfId="2248"/>
    <cellStyle name="Dziesietny_Invoices2001Slovakia_Copy of 05-12  KH trung han 2016-2020 - Liem Thinh edited (1)" xfId="2249"/>
    <cellStyle name="Dziesiętny_Invoices2001Slovakia_Copy of 05-12  KH trung han 2016-2020 - Liem Thinh edited (1)" xfId="2250"/>
    <cellStyle name="Dziesietny_Invoices2001Slovakia_d-uong+TDT" xfId="2251"/>
    <cellStyle name="Dziesiętny_Invoices2001Slovakia_KH TPCP 2016-2020 (tong hop)" xfId="2252"/>
    <cellStyle name="Dziesietny_Invoices2001Slovakia_Nha bao ve(28-7-05)" xfId="2253"/>
    <cellStyle name="Dziesiętny_Invoices2001Slovakia_Nha bao ve(28-7-05)" xfId="2254"/>
    <cellStyle name="Dziesietny_Invoices2001Slovakia_NHA de xe nguyen du" xfId="2255"/>
    <cellStyle name="Dziesiętny_Invoices2001Slovakia_NHA de xe nguyen du" xfId="2256"/>
    <cellStyle name="Dziesietny_Invoices2001Slovakia_Nhalamviec VTC(25-1-05)" xfId="2257"/>
    <cellStyle name="Dziesiętny_Invoices2001Slovakia_Nhalamviec VTC(25-1-05)" xfId="2258"/>
    <cellStyle name="Dziesietny_Invoices2001Slovakia_Nhu cau von ung truoc 2011 Tha h Hoa + Nge An gui TW" xfId="2259"/>
    <cellStyle name="Dziesiętny_Invoices2001Slovakia_TDT KHANH HOA" xfId="2260"/>
    <cellStyle name="Dziesietny_Invoices2001Slovakia_TDT KHANH HOA_Tong hop Cac tuyen(9-1-06)" xfId="2261"/>
    <cellStyle name="Dziesiętny_Invoices2001Slovakia_TDT KHANH HOA_Tong hop Cac tuyen(9-1-06)" xfId="2262"/>
    <cellStyle name="Dziesietny_Invoices2001Slovakia_TDT quangngai" xfId="2263"/>
    <cellStyle name="Dziesiętny_Invoices2001Slovakia_TDT quangngai" xfId="2264"/>
    <cellStyle name="Dziesietny_Invoices2001Slovakia_TMDT(10-5-06)" xfId="2265"/>
    <cellStyle name="e" xfId="2266"/>
    <cellStyle name="Enter Currency (0)" xfId="2267"/>
    <cellStyle name="Enter Currency (0) 10" xfId="2268"/>
    <cellStyle name="Enter Currency (0) 11" xfId="2269"/>
    <cellStyle name="Enter Currency (0) 12" xfId="2270"/>
    <cellStyle name="Enter Currency (0) 13" xfId="2271"/>
    <cellStyle name="Enter Currency (0) 14" xfId="2272"/>
    <cellStyle name="Enter Currency (0) 15" xfId="2273"/>
    <cellStyle name="Enter Currency (0) 16" xfId="2274"/>
    <cellStyle name="Enter Currency (0) 2" xfId="2275"/>
    <cellStyle name="Enter Currency (0) 3" xfId="2276"/>
    <cellStyle name="Enter Currency (0) 4" xfId="2277"/>
    <cellStyle name="Enter Currency (0) 5" xfId="2278"/>
    <cellStyle name="Enter Currency (0) 6" xfId="2279"/>
    <cellStyle name="Enter Currency (0) 7" xfId="2280"/>
    <cellStyle name="Enter Currency (0) 8" xfId="2281"/>
    <cellStyle name="Enter Currency (0) 9" xfId="2282"/>
    <cellStyle name="Enter Currency (2)" xfId="2283"/>
    <cellStyle name="Enter Currency (2) 10" xfId="2284"/>
    <cellStyle name="Enter Currency (2) 11" xfId="2285"/>
    <cellStyle name="Enter Currency (2) 12" xfId="2286"/>
    <cellStyle name="Enter Currency (2) 13" xfId="2287"/>
    <cellStyle name="Enter Currency (2) 14" xfId="2288"/>
    <cellStyle name="Enter Currency (2) 15" xfId="2289"/>
    <cellStyle name="Enter Currency (2) 16" xfId="2290"/>
    <cellStyle name="Enter Currency (2) 2" xfId="2291"/>
    <cellStyle name="Enter Currency (2) 3" xfId="2292"/>
    <cellStyle name="Enter Currency (2) 4" xfId="2293"/>
    <cellStyle name="Enter Currency (2) 5" xfId="2294"/>
    <cellStyle name="Enter Currency (2) 6" xfId="2295"/>
    <cellStyle name="Enter Currency (2) 7" xfId="2296"/>
    <cellStyle name="Enter Currency (2) 8" xfId="2297"/>
    <cellStyle name="Enter Currency (2) 9" xfId="2298"/>
    <cellStyle name="Enter Units (0)" xfId="2299"/>
    <cellStyle name="Enter Units (0) 10" xfId="2300"/>
    <cellStyle name="Enter Units (0) 11" xfId="2301"/>
    <cellStyle name="Enter Units (0) 12" xfId="2302"/>
    <cellStyle name="Enter Units (0) 13" xfId="2303"/>
    <cellStyle name="Enter Units (0) 14" xfId="2304"/>
    <cellStyle name="Enter Units (0) 15" xfId="2305"/>
    <cellStyle name="Enter Units (0) 16" xfId="2306"/>
    <cellStyle name="Enter Units (0) 2" xfId="2307"/>
    <cellStyle name="Enter Units (0) 3" xfId="2308"/>
    <cellStyle name="Enter Units (0) 4" xfId="2309"/>
    <cellStyle name="Enter Units (0) 5" xfId="2310"/>
    <cellStyle name="Enter Units (0) 6" xfId="2311"/>
    <cellStyle name="Enter Units (0) 7" xfId="2312"/>
    <cellStyle name="Enter Units (0) 8" xfId="2313"/>
    <cellStyle name="Enter Units (0) 9" xfId="2314"/>
    <cellStyle name="Enter Units (1)" xfId="2315"/>
    <cellStyle name="Enter Units (1) 10" xfId="2316"/>
    <cellStyle name="Enter Units (1) 11" xfId="2317"/>
    <cellStyle name="Enter Units (1) 12" xfId="2318"/>
    <cellStyle name="Enter Units (1) 13" xfId="2319"/>
    <cellStyle name="Enter Units (1) 14" xfId="2320"/>
    <cellStyle name="Enter Units (1) 15" xfId="2321"/>
    <cellStyle name="Enter Units (1) 16" xfId="2322"/>
    <cellStyle name="Enter Units (1) 2" xfId="2323"/>
    <cellStyle name="Enter Units (1) 3" xfId="2324"/>
    <cellStyle name="Enter Units (1) 4" xfId="2325"/>
    <cellStyle name="Enter Units (1) 5" xfId="2326"/>
    <cellStyle name="Enter Units (1) 6" xfId="2327"/>
    <cellStyle name="Enter Units (1) 7" xfId="2328"/>
    <cellStyle name="Enter Units (1) 8" xfId="2329"/>
    <cellStyle name="Enter Units (1) 9" xfId="2330"/>
    <cellStyle name="Enter Units (2)" xfId="2331"/>
    <cellStyle name="Enter Units (2) 10" xfId="2332"/>
    <cellStyle name="Enter Units (2) 11" xfId="2333"/>
    <cellStyle name="Enter Units (2) 12" xfId="2334"/>
    <cellStyle name="Enter Units (2) 13" xfId="2335"/>
    <cellStyle name="Enter Units (2) 14" xfId="2336"/>
    <cellStyle name="Enter Units (2) 15" xfId="2337"/>
    <cellStyle name="Enter Units (2) 16" xfId="2338"/>
    <cellStyle name="Enter Units (2) 2" xfId="2339"/>
    <cellStyle name="Enter Units (2) 3" xfId="2340"/>
    <cellStyle name="Enter Units (2) 4" xfId="2341"/>
    <cellStyle name="Enter Units (2) 5" xfId="2342"/>
    <cellStyle name="Enter Units (2) 6" xfId="2343"/>
    <cellStyle name="Enter Units (2) 7" xfId="2344"/>
    <cellStyle name="Enter Units (2) 8" xfId="2345"/>
    <cellStyle name="Enter Units (2) 9" xfId="2346"/>
    <cellStyle name="Entered" xfId="2347"/>
    <cellStyle name="Euro" xfId="2348"/>
    <cellStyle name="Euro 10" xfId="2349"/>
    <cellStyle name="Euro 11" xfId="2350"/>
    <cellStyle name="Euro 12" xfId="2351"/>
    <cellStyle name="Euro 13" xfId="2352"/>
    <cellStyle name="Euro 14" xfId="2353"/>
    <cellStyle name="Euro 15" xfId="2354"/>
    <cellStyle name="Euro 16" xfId="2355"/>
    <cellStyle name="Euro 2" xfId="2356"/>
    <cellStyle name="Euro 3" xfId="2357"/>
    <cellStyle name="Euro 4" xfId="2358"/>
    <cellStyle name="Euro 5" xfId="2359"/>
    <cellStyle name="Euro 6" xfId="2360"/>
    <cellStyle name="Euro 7" xfId="2361"/>
    <cellStyle name="Euro 8" xfId="2362"/>
    <cellStyle name="Euro 9" xfId="2363"/>
    <cellStyle name="Excel Built-in Normal" xfId="2364"/>
    <cellStyle name="Explanatory Text 2" xfId="2365"/>
    <cellStyle name="f" xfId="2366"/>
    <cellStyle name="f_Danhmuc_Quyhoach2009" xfId="2367"/>
    <cellStyle name="f_Danhmuc_Quyhoach2009 2" xfId="2368"/>
    <cellStyle name="f_Danhmuc_Quyhoach2009 2 2" xfId="2369"/>
    <cellStyle name="Fixed" xfId="2370"/>
    <cellStyle name="Fixed 10" xfId="2371"/>
    <cellStyle name="Fixed 11" xfId="2372"/>
    <cellStyle name="Fixed 12" xfId="2373"/>
    <cellStyle name="Fixed 13" xfId="2374"/>
    <cellStyle name="Fixed 14" xfId="2375"/>
    <cellStyle name="Fixed 15" xfId="2376"/>
    <cellStyle name="Fixed 16" xfId="2377"/>
    <cellStyle name="Fixed 2" xfId="2378"/>
    <cellStyle name="Fixed 2 2" xfId="2379"/>
    <cellStyle name="Fixed 3" xfId="2380"/>
    <cellStyle name="Fixed 4" xfId="2381"/>
    <cellStyle name="Fixed 5" xfId="2382"/>
    <cellStyle name="Fixed 6" xfId="2383"/>
    <cellStyle name="Fixed 7" xfId="2384"/>
    <cellStyle name="Fixed 8" xfId="2385"/>
    <cellStyle name="Fixed 9" xfId="2386"/>
    <cellStyle name="Font Britannic16" xfId="2387"/>
    <cellStyle name="Font Britannic18" xfId="2388"/>
    <cellStyle name="Font CenturyCond 18" xfId="2389"/>
    <cellStyle name="Font Cond20" xfId="2390"/>
    <cellStyle name="Font LucidaSans16" xfId="2391"/>
    <cellStyle name="Font NewCenturyCond18" xfId="2392"/>
    <cellStyle name="Font Ottawa14" xfId="2393"/>
    <cellStyle name="Font Ottawa16" xfId="2394"/>
    <cellStyle name="Good 2" xfId="2396"/>
    <cellStyle name="Grey" xfId="2397"/>
    <cellStyle name="Grey 10" xfId="2398"/>
    <cellStyle name="Grey 11" xfId="2399"/>
    <cellStyle name="Grey 12" xfId="2400"/>
    <cellStyle name="Grey 13" xfId="2401"/>
    <cellStyle name="Grey 14" xfId="2402"/>
    <cellStyle name="Grey 15" xfId="2403"/>
    <cellStyle name="Grey 16" xfId="2404"/>
    <cellStyle name="Grey 2" xfId="2405"/>
    <cellStyle name="Grey 3" xfId="2406"/>
    <cellStyle name="Grey 4" xfId="2407"/>
    <cellStyle name="Grey 5" xfId="2408"/>
    <cellStyle name="Grey 6" xfId="2409"/>
    <cellStyle name="Grey 7" xfId="2410"/>
    <cellStyle name="Grey 8" xfId="2411"/>
    <cellStyle name="Grey 9" xfId="2412"/>
    <cellStyle name="Grey_KH TPCP 2016-2020 (tong hop)" xfId="2413"/>
    <cellStyle name="Group" xfId="2414"/>
    <cellStyle name="gia" xfId="2395"/>
    <cellStyle name="H" xfId="2415"/>
    <cellStyle name="ha" xfId="2416"/>
    <cellStyle name="HAI" xfId="2417"/>
    <cellStyle name="Head 1" xfId="2418"/>
    <cellStyle name="HEADER" xfId="2419"/>
    <cellStyle name="HEADER 2" xfId="2420"/>
    <cellStyle name="Header1" xfId="2421"/>
    <cellStyle name="Header1 2" xfId="2422"/>
    <cellStyle name="Header2" xfId="2423"/>
    <cellStyle name="Header2 2" xfId="2424"/>
    <cellStyle name="Heading" xfId="2425"/>
    <cellStyle name="Heading 1 2" xfId="2426"/>
    <cellStyle name="Heading 2 2" xfId="2427"/>
    <cellStyle name="Heading 3 2" xfId="2428"/>
    <cellStyle name="Heading 4 2" xfId="2429"/>
    <cellStyle name="Heading No Underline" xfId="2430"/>
    <cellStyle name="Heading With Underline" xfId="2431"/>
    <cellStyle name="HEADING1" xfId="2432"/>
    <cellStyle name="HEADING2" xfId="2433"/>
    <cellStyle name="HEADINGS" xfId="2434"/>
    <cellStyle name="HEADINGSTOP" xfId="2435"/>
    <cellStyle name="headoption" xfId="2436"/>
    <cellStyle name="headoption 2" xfId="2437"/>
    <cellStyle name="headoption 3" xfId="2438"/>
    <cellStyle name="Hoa-Scholl" xfId="2439"/>
    <cellStyle name="Hoa-Scholl 2" xfId="2440"/>
    <cellStyle name="HUY" xfId="2441"/>
    <cellStyle name="i phÝ kh¸c_B¶ng 2" xfId="2442"/>
    <cellStyle name="I.3" xfId="2443"/>
    <cellStyle name="i·0" xfId="2444"/>
    <cellStyle name="i·0 2" xfId="2445"/>
    <cellStyle name="ï-¾È»ê_BiÓu TB" xfId="2446"/>
    <cellStyle name="Input [yellow]" xfId="2447"/>
    <cellStyle name="Input [yellow] 10" xfId="2448"/>
    <cellStyle name="Input [yellow] 11" xfId="2449"/>
    <cellStyle name="Input [yellow] 12" xfId="2450"/>
    <cellStyle name="Input [yellow] 13" xfId="2451"/>
    <cellStyle name="Input [yellow] 14" xfId="2452"/>
    <cellStyle name="Input [yellow] 15" xfId="2453"/>
    <cellStyle name="Input [yellow] 16" xfId="2454"/>
    <cellStyle name="Input [yellow] 2" xfId="2455"/>
    <cellStyle name="Input [yellow] 2 2" xfId="2456"/>
    <cellStyle name="Input [yellow] 3" xfId="2457"/>
    <cellStyle name="Input [yellow] 4" xfId="2458"/>
    <cellStyle name="Input [yellow] 5" xfId="2459"/>
    <cellStyle name="Input [yellow] 6" xfId="2460"/>
    <cellStyle name="Input [yellow] 7" xfId="2461"/>
    <cellStyle name="Input [yellow] 8" xfId="2462"/>
    <cellStyle name="Input [yellow] 9" xfId="2463"/>
    <cellStyle name="Input [yellow]_KH TPCP 2016-2020 (tong hop)" xfId="2464"/>
    <cellStyle name="Input 2" xfId="2465"/>
    <cellStyle name="Input 3" xfId="2466"/>
    <cellStyle name="Input 4" xfId="2467"/>
    <cellStyle name="Input 5" xfId="2468"/>
    <cellStyle name="Input 6" xfId="2469"/>
    <cellStyle name="Input 7" xfId="2470"/>
    <cellStyle name="k_TONG HOP KINH PHI" xfId="2471"/>
    <cellStyle name="k_TONG HOP KINH PHI_!1 1 bao cao giao KH ve HTCMT vung TNB   12-12-2011" xfId="2472"/>
    <cellStyle name="k_TONG HOP KINH PHI_Bieu4HTMT" xfId="2473"/>
    <cellStyle name="k_TONG HOP KINH PHI_Bieu4HTMT_!1 1 bao cao giao KH ve HTCMT vung TNB   12-12-2011" xfId="2474"/>
    <cellStyle name="k_TONG HOP KINH PHI_Bieu4HTMT_KH TPCP vung TNB (03-1-2012)" xfId="2475"/>
    <cellStyle name="k_TONG HOP KINH PHI_KH TPCP vung TNB (03-1-2012)" xfId="2476"/>
    <cellStyle name="k_ÿÿÿÿÿ" xfId="2477"/>
    <cellStyle name="k_ÿÿÿÿÿ_!1 1 bao cao giao KH ve HTCMT vung TNB   12-12-2011" xfId="2478"/>
    <cellStyle name="k_ÿÿÿÿÿ_1" xfId="2479"/>
    <cellStyle name="k_ÿÿÿÿÿ_2" xfId="2480"/>
    <cellStyle name="k_ÿÿÿÿÿ_2_!1 1 bao cao giao KH ve HTCMT vung TNB   12-12-2011" xfId="2481"/>
    <cellStyle name="k_ÿÿÿÿÿ_2_Bieu4HTMT" xfId="2482"/>
    <cellStyle name="k_ÿÿÿÿÿ_2_Bieu4HTMT_!1 1 bao cao giao KH ve HTCMT vung TNB   12-12-2011" xfId="2483"/>
    <cellStyle name="k_ÿÿÿÿÿ_2_Bieu4HTMT_KH TPCP vung TNB (03-1-2012)" xfId="2484"/>
    <cellStyle name="k_ÿÿÿÿÿ_2_KH TPCP vung TNB (03-1-2012)" xfId="2485"/>
    <cellStyle name="k_ÿÿÿÿÿ_Bieu4HTMT" xfId="2486"/>
    <cellStyle name="k_ÿÿÿÿÿ_Bieu4HTMT_!1 1 bao cao giao KH ve HTCMT vung TNB   12-12-2011" xfId="2487"/>
    <cellStyle name="k_ÿÿÿÿÿ_Bieu4HTMT_KH TPCP vung TNB (03-1-2012)" xfId="2488"/>
    <cellStyle name="k_ÿÿÿÿÿ_KH TPCP vung TNB (03-1-2012)" xfId="2489"/>
    <cellStyle name="kh¸c_Bang Chi tieu" xfId="2490"/>
    <cellStyle name="khanh" xfId="2491"/>
    <cellStyle name="khung" xfId="2492"/>
    <cellStyle name="Ledger 17 x 11 in" xfId="46"/>
    <cellStyle name="Ledger 17 x 11 in 2" xfId="66"/>
    <cellStyle name="left" xfId="2493"/>
    <cellStyle name="Line" xfId="2494"/>
    <cellStyle name="Link Currency (0)" xfId="2495"/>
    <cellStyle name="Link Currency (0) 10" xfId="2496"/>
    <cellStyle name="Link Currency (0) 11" xfId="2497"/>
    <cellStyle name="Link Currency (0) 12" xfId="2498"/>
    <cellStyle name="Link Currency (0) 13" xfId="2499"/>
    <cellStyle name="Link Currency (0) 14" xfId="2500"/>
    <cellStyle name="Link Currency (0) 15" xfId="2501"/>
    <cellStyle name="Link Currency (0) 16" xfId="2502"/>
    <cellStyle name="Link Currency (0) 2" xfId="2503"/>
    <cellStyle name="Link Currency (0) 3" xfId="2504"/>
    <cellStyle name="Link Currency (0) 4" xfId="2505"/>
    <cellStyle name="Link Currency (0) 5" xfId="2506"/>
    <cellStyle name="Link Currency (0) 6" xfId="2507"/>
    <cellStyle name="Link Currency (0) 7" xfId="2508"/>
    <cellStyle name="Link Currency (0) 8" xfId="2509"/>
    <cellStyle name="Link Currency (0) 9" xfId="2510"/>
    <cellStyle name="Link Currency (2)" xfId="2511"/>
    <cellStyle name="Link Currency (2) 10" xfId="2512"/>
    <cellStyle name="Link Currency (2) 11" xfId="2513"/>
    <cellStyle name="Link Currency (2) 12" xfId="2514"/>
    <cellStyle name="Link Currency (2) 13" xfId="2515"/>
    <cellStyle name="Link Currency (2) 14" xfId="2516"/>
    <cellStyle name="Link Currency (2) 15" xfId="2517"/>
    <cellStyle name="Link Currency (2) 16" xfId="2518"/>
    <cellStyle name="Link Currency (2) 2" xfId="2519"/>
    <cellStyle name="Link Currency (2) 3" xfId="2520"/>
    <cellStyle name="Link Currency (2) 4" xfId="2521"/>
    <cellStyle name="Link Currency (2) 5" xfId="2522"/>
    <cellStyle name="Link Currency (2) 6" xfId="2523"/>
    <cellStyle name="Link Currency (2) 7" xfId="2524"/>
    <cellStyle name="Link Currency (2) 8" xfId="2525"/>
    <cellStyle name="Link Currency (2) 9" xfId="2526"/>
    <cellStyle name="Link Units (0)" xfId="2527"/>
    <cellStyle name="Link Units (0) 10" xfId="2528"/>
    <cellStyle name="Link Units (0) 11" xfId="2529"/>
    <cellStyle name="Link Units (0) 12" xfId="2530"/>
    <cellStyle name="Link Units (0) 13" xfId="2531"/>
    <cellStyle name="Link Units (0) 14" xfId="2532"/>
    <cellStyle name="Link Units (0) 15" xfId="2533"/>
    <cellStyle name="Link Units (0) 16" xfId="2534"/>
    <cellStyle name="Link Units (0) 2" xfId="2535"/>
    <cellStyle name="Link Units (0) 3" xfId="2536"/>
    <cellStyle name="Link Units (0) 4" xfId="2537"/>
    <cellStyle name="Link Units (0) 5" xfId="2538"/>
    <cellStyle name="Link Units (0) 6" xfId="2539"/>
    <cellStyle name="Link Units (0) 7" xfId="2540"/>
    <cellStyle name="Link Units (0) 8" xfId="2541"/>
    <cellStyle name="Link Units (0) 9" xfId="2542"/>
    <cellStyle name="Link Units (1)" xfId="2543"/>
    <cellStyle name="Link Units (1) 10" xfId="2544"/>
    <cellStyle name="Link Units (1) 11" xfId="2545"/>
    <cellStyle name="Link Units (1) 12" xfId="2546"/>
    <cellStyle name="Link Units (1) 13" xfId="2547"/>
    <cellStyle name="Link Units (1) 14" xfId="2548"/>
    <cellStyle name="Link Units (1) 15" xfId="2549"/>
    <cellStyle name="Link Units (1) 16" xfId="2550"/>
    <cellStyle name="Link Units (1) 2" xfId="2551"/>
    <cellStyle name="Link Units (1) 3" xfId="2552"/>
    <cellStyle name="Link Units (1) 4" xfId="2553"/>
    <cellStyle name="Link Units (1) 5" xfId="2554"/>
    <cellStyle name="Link Units (1) 6" xfId="2555"/>
    <cellStyle name="Link Units (1) 7" xfId="2556"/>
    <cellStyle name="Link Units (1) 8" xfId="2557"/>
    <cellStyle name="Link Units (1) 9" xfId="2558"/>
    <cellStyle name="Link Units (2)" xfId="2559"/>
    <cellStyle name="Link Units (2) 10" xfId="2560"/>
    <cellStyle name="Link Units (2) 11" xfId="2561"/>
    <cellStyle name="Link Units (2) 12" xfId="2562"/>
    <cellStyle name="Link Units (2) 13" xfId="2563"/>
    <cellStyle name="Link Units (2) 14" xfId="2564"/>
    <cellStyle name="Link Units (2) 15" xfId="2565"/>
    <cellStyle name="Link Units (2) 16" xfId="2566"/>
    <cellStyle name="Link Units (2) 2" xfId="2567"/>
    <cellStyle name="Link Units (2) 3" xfId="2568"/>
    <cellStyle name="Link Units (2) 4" xfId="2569"/>
    <cellStyle name="Link Units (2) 5" xfId="2570"/>
    <cellStyle name="Link Units (2) 6" xfId="2571"/>
    <cellStyle name="Link Units (2) 7" xfId="2572"/>
    <cellStyle name="Link Units (2) 8" xfId="2573"/>
    <cellStyle name="Link Units (2) 9" xfId="2574"/>
    <cellStyle name="Linked Cell 2" xfId="2575"/>
    <cellStyle name="Loai CBDT" xfId="2576"/>
    <cellStyle name="Loai CT" xfId="2577"/>
    <cellStyle name="Loai GD" xfId="2578"/>
    <cellStyle name="MAU" xfId="2579"/>
    <cellStyle name="MAU 2" xfId="2580"/>
    <cellStyle name="Millares [0]_Well Timing" xfId="2581"/>
    <cellStyle name="Millares_Well Timing" xfId="2582"/>
    <cellStyle name="Milliers [0]_      " xfId="2583"/>
    <cellStyle name="Milliers_      " xfId="2584"/>
    <cellStyle name="Model" xfId="2585"/>
    <cellStyle name="Model 2" xfId="2586"/>
    <cellStyle name="moi" xfId="2587"/>
    <cellStyle name="moi 2" xfId="2588"/>
    <cellStyle name="moi 3" xfId="2589"/>
    <cellStyle name="Moneda [0]_Well Timing" xfId="2590"/>
    <cellStyle name="Moneda_Well Timing" xfId="2591"/>
    <cellStyle name="Monétaire [0]_      " xfId="2592"/>
    <cellStyle name="Monétaire_      " xfId="2593"/>
    <cellStyle name="n" xfId="2594"/>
    <cellStyle name="Neutral 2" xfId="2595"/>
    <cellStyle name="New" xfId="2596"/>
    <cellStyle name="New Times Roman" xfId="2597"/>
    <cellStyle name="no dec" xfId="2599"/>
    <cellStyle name="no dec 2" xfId="2600"/>
    <cellStyle name="no dec 2 2" xfId="2601"/>
    <cellStyle name="ÑONVÒ" xfId="2602"/>
    <cellStyle name="ÑONVÒ 2" xfId="2603"/>
    <cellStyle name="Normal" xfId="0" builtinId="0"/>
    <cellStyle name="Normal - Style1" xfId="2604"/>
    <cellStyle name="Normal - Style1 2" xfId="2605"/>
    <cellStyle name="Normal - Style1 3" xfId="2606"/>
    <cellStyle name="Normal - Style1_KH TPCP 2016-2020 (tong hop)" xfId="2607"/>
    <cellStyle name="Normal - 유형1" xfId="2608"/>
    <cellStyle name="Normal 10" xfId="67"/>
    <cellStyle name="Normal 10 2" xfId="68"/>
    <cellStyle name="Normal 10 3" xfId="2609"/>
    <cellStyle name="Normal 10 3 2" xfId="2610"/>
    <cellStyle name="Normal 10 4" xfId="2611"/>
    <cellStyle name="Normal 10 5" xfId="2612"/>
    <cellStyle name="Normal 10 6" xfId="35"/>
    <cellStyle name="Normal 10_05-12  KH trung han 2016-2020 - Liem Thinh edited" xfId="2613"/>
    <cellStyle name="Normal 11" xfId="40"/>
    <cellStyle name="Normal 11 2" xfId="57"/>
    <cellStyle name="Normal 11 2 2" xfId="2614"/>
    <cellStyle name="Normal 11 3" xfId="2615"/>
    <cellStyle name="Normal 11 3 2" xfId="2616"/>
    <cellStyle name="Normal 11 3 3" xfId="2617"/>
    <cellStyle name="Normal 11 3 4" xfId="2618"/>
    <cellStyle name="Normal 12" xfId="2619"/>
    <cellStyle name="Normal 12 2" xfId="2620"/>
    <cellStyle name="Normal 12 3" xfId="2621"/>
    <cellStyle name="Normal 13" xfId="2622"/>
    <cellStyle name="Normal 13 2" xfId="2623"/>
    <cellStyle name="Normal 14" xfId="2624"/>
    <cellStyle name="Normal 14 2" xfId="2625"/>
    <cellStyle name="Normal 14 3" xfId="2626"/>
    <cellStyle name="Normal 15" xfId="2627"/>
    <cellStyle name="Normal 15 2" xfId="2628"/>
    <cellStyle name="Normal 15 3" xfId="2629"/>
    <cellStyle name="Normal 16" xfId="2630"/>
    <cellStyle name="Normal 16 2" xfId="2631"/>
    <cellStyle name="Normal 16 2 2" xfId="2632"/>
    <cellStyle name="Normal 16 2 2 2" xfId="2633"/>
    <cellStyle name="Normal 16 2 3" xfId="2634"/>
    <cellStyle name="Normal 16 2 3 2" xfId="2635"/>
    <cellStyle name="Normal 16 2 4" xfId="2636"/>
    <cellStyle name="Normal 16 3" xfId="2637"/>
    <cellStyle name="Normal 16 4" xfId="2638"/>
    <cellStyle name="Normal 16 4 2" xfId="2639"/>
    <cellStyle name="Normal 16 5" xfId="2640"/>
    <cellStyle name="Normal 16 5 2" xfId="2641"/>
    <cellStyle name="Normal 17" xfId="2642"/>
    <cellStyle name="Normal 17 2" xfId="2643"/>
    <cellStyle name="Normal 17 3 2" xfId="2644"/>
    <cellStyle name="Normal 17 3 2 2" xfId="2645"/>
    <cellStyle name="Normal 17 3 2 2 2" xfId="2646"/>
    <cellStyle name="Normal 17 3 2 3" xfId="2647"/>
    <cellStyle name="Normal 17 3 2 3 2" xfId="2648"/>
    <cellStyle name="Normal 17 3 2 4" xfId="2649"/>
    <cellStyle name="Normal 17_Tong hop no XDCB 31.12 (TH chung 1.12)" xfId="29"/>
    <cellStyle name="Normal 18" xfId="2650"/>
    <cellStyle name="Normal 18 2" xfId="2651"/>
    <cellStyle name="Normal 18 2 2" xfId="2652"/>
    <cellStyle name="Normal 18 3" xfId="2653"/>
    <cellStyle name="Normal 18_05-12  KH trung han 2016-2020 - Liem Thinh edited" xfId="2654"/>
    <cellStyle name="Normal 19" xfId="19"/>
    <cellStyle name="Normal 19 2" xfId="2655"/>
    <cellStyle name="Normal 19 3" xfId="2656"/>
    <cellStyle name="Normal 2" xfId="4"/>
    <cellStyle name="Normal 2 10" xfId="82"/>
    <cellStyle name="Normal 2 10 2" xfId="2657"/>
    <cellStyle name="Normal 2 11" xfId="2658"/>
    <cellStyle name="Normal 2 11 2" xfId="2659"/>
    <cellStyle name="Normal 2 12" xfId="2660"/>
    <cellStyle name="Normal 2 12 2" xfId="2661"/>
    <cellStyle name="Normal 2 13" xfId="2662"/>
    <cellStyle name="Normal 2 13 2" xfId="2663"/>
    <cellStyle name="Normal 2 14" xfId="2664"/>
    <cellStyle name="Normal 2 14 2" xfId="2665"/>
    <cellStyle name="Normal 2 14_Phuongangiao 1-giaoxulykythuat" xfId="2666"/>
    <cellStyle name="Normal 2 15" xfId="2667"/>
    <cellStyle name="Normal 2 16" xfId="2668"/>
    <cellStyle name="Normal 2 17" xfId="2669"/>
    <cellStyle name="Normal 2 18" xfId="2670"/>
    <cellStyle name="Normal 2 19" xfId="2671"/>
    <cellStyle name="Normal 2 2" xfId="48"/>
    <cellStyle name="Normal 2 2 10" xfId="2672"/>
    <cellStyle name="Normal 2 2 10 2" xfId="2673"/>
    <cellStyle name="Normal 2 2 11" xfId="2674"/>
    <cellStyle name="Normal 2 2 12" xfId="2675"/>
    <cellStyle name="Normal 2 2 13" xfId="2676"/>
    <cellStyle name="Normal 2 2 14" xfId="2677"/>
    <cellStyle name="Normal 2 2 15" xfId="2678"/>
    <cellStyle name="Normal 2 2 2" xfId="2679"/>
    <cellStyle name="Normal 2 2 2 2" xfId="2680"/>
    <cellStyle name="Normal 2 2 2 3" xfId="2681"/>
    <cellStyle name="Normal 2 2 3" xfId="2682"/>
    <cellStyle name="Normal 2 2 4" xfId="2683"/>
    <cellStyle name="Normal 2 2 4 2" xfId="2684"/>
    <cellStyle name="Normal 2 2 4 3" xfId="2685"/>
    <cellStyle name="Normal 2 2 5" xfId="2686"/>
    <cellStyle name="Normal 2 2 6" xfId="2687"/>
    <cellStyle name="Normal 2 2 7" xfId="2688"/>
    <cellStyle name="Normal 2 2 8" xfId="2689"/>
    <cellStyle name="Normal 2 2 9" xfId="2690"/>
    <cellStyle name="Normal 2 2_Bieu chi tiet tang quy mo, dch ky thuat 4" xfId="2691"/>
    <cellStyle name="Normal 2 20" xfId="2692"/>
    <cellStyle name="Normal 2 21" xfId="2693"/>
    <cellStyle name="Normal 2 22" xfId="2694"/>
    <cellStyle name="Normal 2 23" xfId="2695"/>
    <cellStyle name="Normal 2 24" xfId="2696"/>
    <cellStyle name="Normal 2 25" xfId="2697"/>
    <cellStyle name="Normal 2 26" xfId="2698"/>
    <cellStyle name="Normal 2 26 2" xfId="2699"/>
    <cellStyle name="Normal 2 27" xfId="2700"/>
    <cellStyle name="Normal 2 28" xfId="4311"/>
    <cellStyle name="Normal 2 29" xfId="4312"/>
    <cellStyle name="Normal 2 3" xfId="47"/>
    <cellStyle name="Normal 2 3 10" xfId="49"/>
    <cellStyle name="Normal 2 3 10 2" xfId="69"/>
    <cellStyle name="Normal 2 3 2" xfId="2701"/>
    <cellStyle name="Normal 2 3 2 2" xfId="2702"/>
    <cellStyle name="Normal 2 3 3" xfId="2703"/>
    <cellStyle name="Normal 2 3_Bieu KH 5 nam_So GTVT_final" xfId="70"/>
    <cellStyle name="Normal 2 32" xfId="2704"/>
    <cellStyle name="Normal 2 4" xfId="71"/>
    <cellStyle name="Normal 2 4 2" xfId="2705"/>
    <cellStyle name="Normal 2 4 2 2" xfId="2706"/>
    <cellStyle name="Normal 2 4 3" xfId="2707"/>
    <cellStyle name="Normal 2 4 3 2" xfId="2708"/>
    <cellStyle name="Normal 2 5" xfId="2709"/>
    <cellStyle name="Normal 2 5 2" xfId="2710"/>
    <cellStyle name="Normal 2 6" xfId="2711"/>
    <cellStyle name="Normal 2 6 2" xfId="2712"/>
    <cellStyle name="Normal 2 7" xfId="2713"/>
    <cellStyle name="Normal 2 7 2" xfId="2714"/>
    <cellStyle name="Normal 2 8" xfId="2715"/>
    <cellStyle name="Normal 2 8 2" xfId="2716"/>
    <cellStyle name="Normal 2 9" xfId="2717"/>
    <cellStyle name="Normal 2 9 2" xfId="2718"/>
    <cellStyle name="Normal 2_05-12  KH trung han 2016-2020 - Liem Thinh edited" xfId="2719"/>
    <cellStyle name="Normal 20" xfId="2720"/>
    <cellStyle name="Normal 20 2" xfId="2721"/>
    <cellStyle name="Normal 21" xfId="2722"/>
    <cellStyle name="Normal 21 2" xfId="2723"/>
    <cellStyle name="Normal 22" xfId="2724"/>
    <cellStyle name="Normal 22 2" xfId="2725"/>
    <cellStyle name="Normal 23" xfId="2726"/>
    <cellStyle name="Normal 23 2" xfId="2727"/>
    <cellStyle name="Normal 23 3" xfId="2728"/>
    <cellStyle name="Normal 24" xfId="2729"/>
    <cellStyle name="Normal 24 2" xfId="2730"/>
    <cellStyle name="Normal 24 2 2" xfId="2731"/>
    <cellStyle name="Normal 25" xfId="2732"/>
    <cellStyle name="Normal 25 2" xfId="2733"/>
    <cellStyle name="Normal 25 3" xfId="2734"/>
    <cellStyle name="Normal 26" xfId="2735"/>
    <cellStyle name="Normal 26 2" xfId="2736"/>
    <cellStyle name="Normal 27" xfId="2737"/>
    <cellStyle name="Normal 27 2" xfId="2738"/>
    <cellStyle name="Normal 28" xfId="2739"/>
    <cellStyle name="Normal 28 2" xfId="2740"/>
    <cellStyle name="Normal 29" xfId="2741"/>
    <cellStyle name="Normal 29 2" xfId="2742"/>
    <cellStyle name="Normal 3" xfId="50"/>
    <cellStyle name="Normal 3 10" xfId="2743"/>
    <cellStyle name="Normal 3 11" xfId="2744"/>
    <cellStyle name="Normal 3 12" xfId="2745"/>
    <cellStyle name="Normal 3 13" xfId="2746"/>
    <cellStyle name="Normal 3 14" xfId="2747"/>
    <cellStyle name="Normal 3 15" xfId="2748"/>
    <cellStyle name="Normal 3 16" xfId="2749"/>
    <cellStyle name="Normal 3 17" xfId="2750"/>
    <cellStyle name="Normal 3 18" xfId="2751"/>
    <cellStyle name="Normal 3 19" xfId="4313"/>
    <cellStyle name="Normal 3 2" xfId="2752"/>
    <cellStyle name="Normal 3 2 2" xfId="2753"/>
    <cellStyle name="Normal 3 2 2 2" xfId="2754"/>
    <cellStyle name="Normal 3 2 3" xfId="2755"/>
    <cellStyle name="Normal 3 2 3 2" xfId="2756"/>
    <cellStyle name="Normal 3 2 4" xfId="2757"/>
    <cellStyle name="Normal 3 2 5" xfId="2758"/>
    <cellStyle name="Normal 3 2 5 2" xfId="2759"/>
    <cellStyle name="Normal 3 2 6" xfId="2760"/>
    <cellStyle name="Normal 3 2 6 2" xfId="2761"/>
    <cellStyle name="Normal 3 2 7" xfId="2762"/>
    <cellStyle name="Normal 3 3" xfId="2763"/>
    <cellStyle name="Normal 3 3 2" xfId="2764"/>
    <cellStyle name="Normal 3 4" xfId="2765"/>
    <cellStyle name="Normal 3 4 2" xfId="2766"/>
    <cellStyle name="Normal 3 5" xfId="2767"/>
    <cellStyle name="Normal 3 6" xfId="2768"/>
    <cellStyle name="Normal 3 7" xfId="2769"/>
    <cellStyle name="Normal 3 8" xfId="2770"/>
    <cellStyle name="Normal 3 9" xfId="2771"/>
    <cellStyle name="Normal 3_Bieu TH TPCP Vung TNB ngay 4-1-2012" xfId="2772"/>
    <cellStyle name="Normal 30" xfId="2773"/>
    <cellStyle name="Normal 30 2" xfId="2774"/>
    <cellStyle name="Normal 30 2 2" xfId="2775"/>
    <cellStyle name="Normal 30 3" xfId="2776"/>
    <cellStyle name="Normal 30 3 2" xfId="2777"/>
    <cellStyle name="Normal 30 4" xfId="2778"/>
    <cellStyle name="Normal 31" xfId="2779"/>
    <cellStyle name="Normal 31 2" xfId="2780"/>
    <cellStyle name="Normal 31 2 2" xfId="2781"/>
    <cellStyle name="Normal 31 3" xfId="2782"/>
    <cellStyle name="Normal 31 3 2" xfId="2783"/>
    <cellStyle name="Normal 31 4" xfId="2784"/>
    <cellStyle name="Normal 32" xfId="2785"/>
    <cellStyle name="Normal 32 2" xfId="2786"/>
    <cellStyle name="Normal 32 2 2" xfId="2787"/>
    <cellStyle name="Normal 33" xfId="2788"/>
    <cellStyle name="Normal 33 2" xfId="2789"/>
    <cellStyle name="Normal 34" xfId="2790"/>
    <cellStyle name="Normal 35" xfId="2791"/>
    <cellStyle name="Normal 36" xfId="2792"/>
    <cellStyle name="Normal 37" xfId="2793"/>
    <cellStyle name="Normal 37 2" xfId="2794"/>
    <cellStyle name="Normal 37 2 2" xfId="2795"/>
    <cellStyle name="Normal 37 2 3" xfId="2796"/>
    <cellStyle name="Normal 37 3" xfId="2797"/>
    <cellStyle name="Normal 37 3 2" xfId="2798"/>
    <cellStyle name="Normal 37 4" xfId="2799"/>
    <cellStyle name="Normal 38" xfId="2800"/>
    <cellStyle name="Normal 38 2" xfId="2801"/>
    <cellStyle name="Normal 38 2 2" xfId="2802"/>
    <cellStyle name="Normal 39" xfId="2803"/>
    <cellStyle name="Normal 39 2" xfId="2804"/>
    <cellStyle name="Normal 39 2 2" xfId="2805"/>
    <cellStyle name="Normal 39 3" xfId="2806"/>
    <cellStyle name="Normal 39 3 2" xfId="2807"/>
    <cellStyle name="Normal 4" xfId="42"/>
    <cellStyle name="Normal 4 10" xfId="2808"/>
    <cellStyle name="Normal 4 11" xfId="2809"/>
    <cellStyle name="Normal 4 12" xfId="2810"/>
    <cellStyle name="Normal 4 13" xfId="2811"/>
    <cellStyle name="Normal 4 14" xfId="2812"/>
    <cellStyle name="Normal 4 15" xfId="2813"/>
    <cellStyle name="Normal 4 16" xfId="2814"/>
    <cellStyle name="Normal 4 17" xfId="2815"/>
    <cellStyle name="Normal 4 2" xfId="72"/>
    <cellStyle name="Normal 4 2 2" xfId="2816"/>
    <cellStyle name="Normal 4 3" xfId="2817"/>
    <cellStyle name="Normal 4 4" xfId="2818"/>
    <cellStyle name="Normal 4 5" xfId="2819"/>
    <cellStyle name="Normal 4 6" xfId="2820"/>
    <cellStyle name="Normal 4 7" xfId="2821"/>
    <cellStyle name="Normal 4 8" xfId="2822"/>
    <cellStyle name="Normal 4 9" xfId="2823"/>
    <cellStyle name="Normal 4_Bang bieu" xfId="2824"/>
    <cellStyle name="Normal 40" xfId="2825"/>
    <cellStyle name="Normal 41" xfId="2826"/>
    <cellStyle name="Normal 42" xfId="2827"/>
    <cellStyle name="Normal 43" xfId="2828"/>
    <cellStyle name="Normal 44" xfId="2829"/>
    <cellStyle name="Normal 45" xfId="2830"/>
    <cellStyle name="Normal 46" xfId="2831"/>
    <cellStyle name="Normal 46 2" xfId="2832"/>
    <cellStyle name="Normal 47" xfId="2833"/>
    <cellStyle name="Normal 48" xfId="2834"/>
    <cellStyle name="Normal 49" xfId="2835"/>
    <cellStyle name="Normal 5" xfId="51"/>
    <cellStyle name="Normal 5 2" xfId="2836"/>
    <cellStyle name="Normal 5 2 2" xfId="2837"/>
    <cellStyle name="Normal 5 3" xfId="4307"/>
    <cellStyle name="Normal 50" xfId="2838"/>
    <cellStyle name="Normal 51" xfId="2839"/>
    <cellStyle name="Normal 52" xfId="2840"/>
    <cellStyle name="Normal 53" xfId="2841"/>
    <cellStyle name="Normal 54" xfId="2842"/>
    <cellStyle name="Normal 55" xfId="4302"/>
    <cellStyle name="Normal 56" xfId="4303"/>
    <cellStyle name="Normal 57" xfId="4308"/>
    <cellStyle name="Normal 6" xfId="73"/>
    <cellStyle name="Normal 6 10" xfId="2843"/>
    <cellStyle name="Normal 6 11" xfId="2844"/>
    <cellStyle name="Normal 6 12" xfId="2845"/>
    <cellStyle name="Normal 6 13" xfId="2846"/>
    <cellStyle name="Normal 6 14" xfId="2847"/>
    <cellStyle name="Normal 6 15" xfId="2848"/>
    <cellStyle name="Normal 6 16" xfId="2849"/>
    <cellStyle name="Normal 6 2" xfId="2850"/>
    <cellStyle name="Normal 6 2 2" xfId="2851"/>
    <cellStyle name="Normal 6 3" xfId="2852"/>
    <cellStyle name="Normal 6 4" xfId="2853"/>
    <cellStyle name="Normal 6 5" xfId="2854"/>
    <cellStyle name="Normal 6 6" xfId="2855"/>
    <cellStyle name="Normal 6 7" xfId="2856"/>
    <cellStyle name="Normal 6 8" xfId="2857"/>
    <cellStyle name="Normal 6 9" xfId="2858"/>
    <cellStyle name="Normal 6_TPCP trinh UBND ngay 27-12" xfId="2859"/>
    <cellStyle name="Normal 7" xfId="74"/>
    <cellStyle name="Normal 7 2" xfId="2860"/>
    <cellStyle name="Normal 7 3" xfId="2861"/>
    <cellStyle name="Normal 7 3 2" xfId="2862"/>
    <cellStyle name="Normal 7 3 3" xfId="2863"/>
    <cellStyle name="Normal 7_!1 1 bao cao giao KH ve HTCMT vung TNB   12-12-2011" xfId="2864"/>
    <cellStyle name="Normal 8" xfId="75"/>
    <cellStyle name="Normal 8 2" xfId="2865"/>
    <cellStyle name="Normal 8 2 2" xfId="2866"/>
    <cellStyle name="Normal 8 2 2 2" xfId="2867"/>
    <cellStyle name="Normal 8 2 3" xfId="2868"/>
    <cellStyle name="Normal 8 2_Phuongangiao 1-giaoxulykythuat" xfId="2869"/>
    <cellStyle name="Normal 8 3" xfId="2870"/>
    <cellStyle name="Normal 8_KH KH2014-TPCP (11-12-2013)-3 ( lay theo DH TPCP 2012-2015 da trinh)" xfId="2871"/>
    <cellStyle name="Normal 9" xfId="76"/>
    <cellStyle name="Normal 9 10" xfId="15"/>
    <cellStyle name="Normal 9 12" xfId="2872"/>
    <cellStyle name="Normal 9 13" xfId="2873"/>
    <cellStyle name="Normal 9 17" xfId="2874"/>
    <cellStyle name="Normal 9 2" xfId="77"/>
    <cellStyle name="Normal 9 21" xfId="2875"/>
    <cellStyle name="Normal 9 23" xfId="2876"/>
    <cellStyle name="Normal 9 3" xfId="2877"/>
    <cellStyle name="Normal 9 46" xfId="2878"/>
    <cellStyle name="Normal 9 47" xfId="2879"/>
    <cellStyle name="Normal 9 48" xfId="2880"/>
    <cellStyle name="Normal 9 49" xfId="2881"/>
    <cellStyle name="Normal 9 50" xfId="2882"/>
    <cellStyle name="Normal 9 51" xfId="2883"/>
    <cellStyle name="Normal 9 52" xfId="2884"/>
    <cellStyle name="Normal 9_Bieu 8 TH No XDCB" xfId="78"/>
    <cellStyle name="Normal_Bieu mau (CV )" xfId="9"/>
    <cellStyle name="Normal_Bieu mau (CV ) 2 10" xfId="80"/>
    <cellStyle name="Normal_Bieu mau (CV ) 2 2" xfId="7"/>
    <cellStyle name="Normal_Bieu mau (CV ) 2 2_Bieu Giao thong van tai (12)" xfId="18"/>
    <cellStyle name="Normal_Bieu mau (CV ) 2 2_Bieu Nong nghiep (11)" xfId="22"/>
    <cellStyle name="Normal_Bieu mau (CV ) 2_Bieu Nong nghiep (11)" xfId="26"/>
    <cellStyle name="Normal_Bieu mau (CV ) 2_Tong hop no XDCB 31.12 (TH chung 3.12)_Bieu Giao thong van tai (12)" xfId="23"/>
    <cellStyle name="Normal_Bieu mau (CV ) 2_Tong hop no XDCB 31.12 (TH chung 5.12)" xfId="5"/>
    <cellStyle name="Normal_Bieu mau (CV )_Bieu Giao thong van tai (12)" xfId="24"/>
    <cellStyle name="Normal_Bieu mau (CV )_Bieu Nong nghiep (11)" xfId="10"/>
    <cellStyle name="Normal_Bieu mau (CV )_Bieu Nong nghiep (11) 2" xfId="53"/>
    <cellStyle name="Normal_Bieu mau (CV )_PA bc UBND tỉnh" xfId="12"/>
    <cellStyle name="Normal_Bieu mau (CV )_Trung han 2016-2020 (theo ti le 15%) CS 17.11" xfId="11"/>
    <cellStyle name="Normal_Bieu mau (CV )_Trung han 2016-2020 (theo ti le 15%) CS 17.11 2" xfId="55"/>
    <cellStyle name="Normal_Bieu mau huong dan" xfId="33"/>
    <cellStyle name="Normal_Bieu no XDCB den NS tinh bc HDND tinh no 162 ty 09.6.2015" xfId="25"/>
    <cellStyle name="Normal_Ke hoach DTPT NS tinh 2016" xfId="21"/>
    <cellStyle name="Normal_Ke hoach DTPT NS tinh 2016_PA bc UBND tỉnh" xfId="8"/>
    <cellStyle name="Normal_PA bc UBND tỉnh_22" xfId="13"/>
    <cellStyle name="Normal_Sheet1 2" xfId="17"/>
    <cellStyle name="Normal_Sheet1 2_KH trung han NS tinh 2016-2020 (17.11) Phi CHA LO" xfId="14"/>
    <cellStyle name="Normal_Sheet1_1" xfId="30"/>
    <cellStyle name="Normal_Sheet1_Bieu Giao thong van tai (12)" xfId="27"/>
    <cellStyle name="Normal_Sheet1_Bieu Giao thong van tai (12) 2" xfId="39"/>
    <cellStyle name="Normal_Sheet1_Bieu Giao thong van tai (12) 2 2" xfId="56"/>
    <cellStyle name="Normal_Sheet1_Bieu mau XD KH 2016-2020(NS tinh quan ly) phong VX 16.4" xfId="6"/>
    <cellStyle name="Normal_Sheet1_PA bc UBND tỉnh" xfId="54"/>
    <cellStyle name="Normal_Trung han 2016-2020 (theo ti le 15%) CS 17.11" xfId="32"/>
    <cellStyle name="Normal1" xfId="2885"/>
    <cellStyle name="Normal8" xfId="2886"/>
    <cellStyle name="Normalny_Cennik obowiazuje od 06-08-2001 r (1)" xfId="2887"/>
    <cellStyle name="Note 2" xfId="2888"/>
    <cellStyle name="Note 2 2" xfId="2889"/>
    <cellStyle name="Note 3" xfId="2890"/>
    <cellStyle name="Note 3 2" xfId="2891"/>
    <cellStyle name="Note 4" xfId="2892"/>
    <cellStyle name="Note 4 2" xfId="2893"/>
    <cellStyle name="Note 5" xfId="2894"/>
    <cellStyle name="NWM" xfId="2895"/>
    <cellStyle name="nga" xfId="2598"/>
    <cellStyle name="Ò_x000a_Normal_123569" xfId="2896"/>
    <cellStyle name="Ò_x000d_Normal_123569" xfId="2897"/>
    <cellStyle name="Ò_x005f_x000d_Normal_123569" xfId="2898"/>
    <cellStyle name="Ò_x005f_x005f_x005f_x000d_Normal_123569" xfId="2899"/>
    <cellStyle name="Œ…‹æØ‚è [0.00]_ÆÂ¹²" xfId="2900"/>
    <cellStyle name="Œ…‹æØ‚è_laroux" xfId="2901"/>
    <cellStyle name="oft Excel]_x000a__x000a_Comment=open=/f ‚ðw’è‚·‚é‚ÆAƒ†[ƒU[’è‹`ŠÖ”‚ðŠÖ”“\‚è•t‚¯‚Ìˆê——‚É“o˜^‚·‚é‚±‚Æ‚ª‚Å‚«‚Ü‚·B_x000a__x000a_Maximized" xfId="2902"/>
    <cellStyle name="oft Excel]_x000a__x000a_Comment=open=/f ‚ðŽw’è‚·‚é‚ÆAƒ†[ƒU[’è‹`ŠÖ”‚ðŠÖ”“\‚è•t‚¯‚Ìˆê——‚É“o˜^‚·‚é‚±‚Æ‚ª‚Å‚«‚Ü‚·B_x000a__x000a_Maximized" xfId="2903"/>
    <cellStyle name="oft Excel]_x000a__x000a_Comment=The open=/f lines load custom functions into the Paste Function list._x000a__x000a_Maximized=2_x000a__x000a_Basics=1_x000a__x000a_A" xfId="2904"/>
    <cellStyle name="oft Excel]_x000a__x000a_Comment=The open=/f lines load custom functions into the Paste Function list._x000a__x000a_Maximized=3_x000a__x000a_Basics=1_x000a__x000a_A" xfId="2905"/>
    <cellStyle name="oft Excel]_x000d__x000a_Comment=open=/f ‚ðw’è‚·‚é‚ÆAƒ†[ƒU[’è‹`ŠÖ”‚ðŠÖ”“\‚è•t‚¯‚Ìˆê——‚É“o˜^‚·‚é‚±‚Æ‚ª‚Å‚«‚Ü‚·B_x000d__x000a_Maximized" xfId="2906"/>
    <cellStyle name="oft Excel]_x000d__x000a_Comment=open=/f ‚ðŽw’è‚·‚é‚ÆAƒ†[ƒU[’è‹`ŠÖ”‚ðŠÖ”“\‚è•t‚¯‚Ìˆê——‚É“o˜^‚·‚é‚±‚Æ‚ª‚Å‚«‚Ü‚·B_x000d__x000a_Maximized" xfId="2907"/>
    <cellStyle name="oft Excel]_x000d__x000a_Comment=The open=/f lines load custom functions into the Paste Function list._x000d__x000a_Maximized=2_x000d__x000a_Basics=1_x000d__x000a_A" xfId="2908"/>
    <cellStyle name="oft Excel]_x000d__x000a_Comment=The open=/f lines load custom functions into the Paste Function list._x000d__x000a_Maximized=3_x000d__x000a_Basics=1_x000d__x000a_A" xfId="2909"/>
    <cellStyle name="oft Excel]_x005f_x000d__x005f_x000a_Comment=open=/f ‚ðw’è‚·‚é‚ÆAƒ†[ƒU[’è‹`ŠÖ”‚ðŠÖ”“\‚è•t‚¯‚Ìˆê——‚É“o˜^‚·‚é‚±‚Æ‚ª‚Å‚«‚Ü‚·B_x005f_x000d__x005f_x000a_Maximized" xfId="2910"/>
    <cellStyle name="omma [0]_Mktg Prog" xfId="2911"/>
    <cellStyle name="ormal_Sheet1_1" xfId="2912"/>
    <cellStyle name="Output 2" xfId="2913"/>
    <cellStyle name="p" xfId="2914"/>
    <cellStyle name="paint" xfId="2915"/>
    <cellStyle name="paint 2" xfId="2916"/>
    <cellStyle name="paint_05-12  KH trung han 2016-2020 - Liem Thinh edited" xfId="2917"/>
    <cellStyle name="Pattern" xfId="2918"/>
    <cellStyle name="Pattern 10" xfId="2919"/>
    <cellStyle name="Pattern 11" xfId="2920"/>
    <cellStyle name="Pattern 12" xfId="2921"/>
    <cellStyle name="Pattern 13" xfId="2922"/>
    <cellStyle name="Pattern 14" xfId="2923"/>
    <cellStyle name="Pattern 15" xfId="2924"/>
    <cellStyle name="Pattern 16" xfId="2925"/>
    <cellStyle name="Pattern 2" xfId="2926"/>
    <cellStyle name="Pattern 3" xfId="2927"/>
    <cellStyle name="Pattern 4" xfId="2928"/>
    <cellStyle name="Pattern 5" xfId="2929"/>
    <cellStyle name="Pattern 6" xfId="2930"/>
    <cellStyle name="Pattern 7" xfId="2931"/>
    <cellStyle name="Pattern 8" xfId="2932"/>
    <cellStyle name="Pattern 9" xfId="2933"/>
    <cellStyle name="per.style" xfId="2934"/>
    <cellStyle name="per.style 2" xfId="2935"/>
    <cellStyle name="Percent" xfId="81" builtinId="5"/>
    <cellStyle name="Percent %" xfId="2936"/>
    <cellStyle name="Percent % Long Underline" xfId="2937"/>
    <cellStyle name="Percent %_Worksheet in  US Financial Statements Ref. Workbook - Single Co" xfId="2938"/>
    <cellStyle name="Percent (0)" xfId="2939"/>
    <cellStyle name="Percent (0) 10" xfId="2940"/>
    <cellStyle name="Percent (0) 11" xfId="2941"/>
    <cellStyle name="Percent (0) 12" xfId="2942"/>
    <cellStyle name="Percent (0) 13" xfId="2943"/>
    <cellStyle name="Percent (0) 14" xfId="2944"/>
    <cellStyle name="Percent (0) 15" xfId="2945"/>
    <cellStyle name="Percent (0) 2" xfId="2946"/>
    <cellStyle name="Percent (0) 3" xfId="2947"/>
    <cellStyle name="Percent (0) 4" xfId="2948"/>
    <cellStyle name="Percent (0) 5" xfId="2949"/>
    <cellStyle name="Percent (0) 6" xfId="2950"/>
    <cellStyle name="Percent (0) 7" xfId="2951"/>
    <cellStyle name="Percent (0) 8" xfId="2952"/>
    <cellStyle name="Percent (0) 9" xfId="2953"/>
    <cellStyle name="Percent [0]" xfId="2954"/>
    <cellStyle name="Percent [0] 10" xfId="2955"/>
    <cellStyle name="Percent [0] 11" xfId="2956"/>
    <cellStyle name="Percent [0] 12" xfId="2957"/>
    <cellStyle name="Percent [0] 13" xfId="2958"/>
    <cellStyle name="Percent [0] 14" xfId="2959"/>
    <cellStyle name="Percent [0] 15" xfId="2960"/>
    <cellStyle name="Percent [0] 16" xfId="2961"/>
    <cellStyle name="Percent [0] 2" xfId="2962"/>
    <cellStyle name="Percent [0] 3" xfId="2963"/>
    <cellStyle name="Percent [0] 4" xfId="2964"/>
    <cellStyle name="Percent [0] 5" xfId="2965"/>
    <cellStyle name="Percent [0] 6" xfId="2966"/>
    <cellStyle name="Percent [0] 7" xfId="2967"/>
    <cellStyle name="Percent [0] 8" xfId="2968"/>
    <cellStyle name="Percent [0] 9" xfId="2969"/>
    <cellStyle name="Percent [00]" xfId="2970"/>
    <cellStyle name="Percent [00] 10" xfId="2971"/>
    <cellStyle name="Percent [00] 11" xfId="2972"/>
    <cellStyle name="Percent [00] 12" xfId="2973"/>
    <cellStyle name="Percent [00] 13" xfId="2974"/>
    <cellStyle name="Percent [00] 14" xfId="2975"/>
    <cellStyle name="Percent [00] 15" xfId="2976"/>
    <cellStyle name="Percent [00] 16" xfId="2977"/>
    <cellStyle name="Percent [00] 2" xfId="2978"/>
    <cellStyle name="Percent [00] 3" xfId="2979"/>
    <cellStyle name="Percent [00] 4" xfId="2980"/>
    <cellStyle name="Percent [00] 5" xfId="2981"/>
    <cellStyle name="Percent [00] 6" xfId="2982"/>
    <cellStyle name="Percent [00] 7" xfId="2983"/>
    <cellStyle name="Percent [00] 8" xfId="2984"/>
    <cellStyle name="Percent [00] 9" xfId="2985"/>
    <cellStyle name="Percent [2]" xfId="2986"/>
    <cellStyle name="Percent [2] 10" xfId="2987"/>
    <cellStyle name="Percent [2] 11" xfId="2988"/>
    <cellStyle name="Percent [2] 12" xfId="2989"/>
    <cellStyle name="Percent [2] 13" xfId="2990"/>
    <cellStyle name="Percent [2] 14" xfId="2991"/>
    <cellStyle name="Percent [2] 15" xfId="2992"/>
    <cellStyle name="Percent [2] 16" xfId="2993"/>
    <cellStyle name="Percent [2] 2" xfId="2994"/>
    <cellStyle name="Percent [2] 2 2" xfId="2995"/>
    <cellStyle name="Percent [2] 3" xfId="2996"/>
    <cellStyle name="Percent [2] 4" xfId="2997"/>
    <cellStyle name="Percent [2] 5" xfId="2998"/>
    <cellStyle name="Percent [2] 6" xfId="2999"/>
    <cellStyle name="Percent [2] 7" xfId="3000"/>
    <cellStyle name="Percent [2] 8" xfId="3001"/>
    <cellStyle name="Percent [2] 9" xfId="3002"/>
    <cellStyle name="Percent 0.0%" xfId="3003"/>
    <cellStyle name="Percent 0.0% Long Underline" xfId="3004"/>
    <cellStyle name="Percent 0.00%" xfId="3005"/>
    <cellStyle name="Percent 0.00% Long Underline" xfId="3006"/>
    <cellStyle name="Percent 0.000%" xfId="3007"/>
    <cellStyle name="Percent 0.000% Long Underline" xfId="3008"/>
    <cellStyle name="Percent 10" xfId="3009"/>
    <cellStyle name="Percent 10 2" xfId="3010"/>
    <cellStyle name="Percent 11" xfId="3011"/>
    <cellStyle name="Percent 11 2" xfId="3012"/>
    <cellStyle name="Percent 12" xfId="3013"/>
    <cellStyle name="Percent 12 2" xfId="3014"/>
    <cellStyle name="Percent 13" xfId="3015"/>
    <cellStyle name="Percent 13 2" xfId="3016"/>
    <cellStyle name="Percent 14" xfId="3017"/>
    <cellStyle name="Percent 14 2" xfId="3018"/>
    <cellStyle name="Percent 15" xfId="3019"/>
    <cellStyle name="Percent 16" xfId="3020"/>
    <cellStyle name="Percent 17" xfId="3021"/>
    <cellStyle name="Percent 18" xfId="3022"/>
    <cellStyle name="Percent 19" xfId="3023"/>
    <cellStyle name="Percent 19 2" xfId="3024"/>
    <cellStyle name="Percent 2" xfId="79"/>
    <cellStyle name="Percent 2 2" xfId="3025"/>
    <cellStyle name="Percent 2 2 2" xfId="3026"/>
    <cellStyle name="Percent 2 2 3" xfId="3027"/>
    <cellStyle name="Percent 2 3" xfId="3028"/>
    <cellStyle name="Percent 2 4" xfId="3029"/>
    <cellStyle name="Percent 20" xfId="3030"/>
    <cellStyle name="Percent 20 2" xfId="3031"/>
    <cellStyle name="Percent 21" xfId="3032"/>
    <cellStyle name="Percent 22" xfId="3033"/>
    <cellStyle name="Percent 23" xfId="3034"/>
    <cellStyle name="Percent 24" xfId="4310"/>
    <cellStyle name="Percent 3" xfId="3035"/>
    <cellStyle name="Percent 3 2" xfId="3036"/>
    <cellStyle name="Percent 3 3" xfId="3037"/>
    <cellStyle name="Percent 4" xfId="3038"/>
    <cellStyle name="Percent 4 2" xfId="3039"/>
    <cellStyle name="Percent 5" xfId="3040"/>
    <cellStyle name="Percent 5 2" xfId="3041"/>
    <cellStyle name="Percent 6" xfId="3042"/>
    <cellStyle name="Percent 6 2" xfId="3043"/>
    <cellStyle name="Percent 7" xfId="3044"/>
    <cellStyle name="Percent 7 2" xfId="3045"/>
    <cellStyle name="Percent 8" xfId="3046"/>
    <cellStyle name="Percent 8 2" xfId="3047"/>
    <cellStyle name="Percent 9" xfId="3048"/>
    <cellStyle name="Percent 9 2" xfId="3049"/>
    <cellStyle name="PERCENTAGE" xfId="3050"/>
    <cellStyle name="PERCENTAGE 2" xfId="3051"/>
    <cellStyle name="PrePop Currency (0)" xfId="3052"/>
    <cellStyle name="PrePop Currency (0) 10" xfId="3053"/>
    <cellStyle name="PrePop Currency (0) 11" xfId="3054"/>
    <cellStyle name="PrePop Currency (0) 12" xfId="3055"/>
    <cellStyle name="PrePop Currency (0) 13" xfId="3056"/>
    <cellStyle name="PrePop Currency (0) 14" xfId="3057"/>
    <cellStyle name="PrePop Currency (0) 15" xfId="3058"/>
    <cellStyle name="PrePop Currency (0) 16" xfId="3059"/>
    <cellStyle name="PrePop Currency (0) 2" xfId="3060"/>
    <cellStyle name="PrePop Currency (0) 3" xfId="3061"/>
    <cellStyle name="PrePop Currency (0) 4" xfId="3062"/>
    <cellStyle name="PrePop Currency (0) 5" xfId="3063"/>
    <cellStyle name="PrePop Currency (0) 6" xfId="3064"/>
    <cellStyle name="PrePop Currency (0) 7" xfId="3065"/>
    <cellStyle name="PrePop Currency (0) 8" xfId="3066"/>
    <cellStyle name="PrePop Currency (0) 9" xfId="3067"/>
    <cellStyle name="PrePop Currency (2)" xfId="3068"/>
    <cellStyle name="PrePop Currency (2) 10" xfId="3069"/>
    <cellStyle name="PrePop Currency (2) 11" xfId="3070"/>
    <cellStyle name="PrePop Currency (2) 12" xfId="3071"/>
    <cellStyle name="PrePop Currency (2) 13" xfId="3072"/>
    <cellStyle name="PrePop Currency (2) 14" xfId="3073"/>
    <cellStyle name="PrePop Currency (2) 15" xfId="3074"/>
    <cellStyle name="PrePop Currency (2) 16" xfId="3075"/>
    <cellStyle name="PrePop Currency (2) 2" xfId="3076"/>
    <cellStyle name="PrePop Currency (2) 3" xfId="3077"/>
    <cellStyle name="PrePop Currency (2) 4" xfId="3078"/>
    <cellStyle name="PrePop Currency (2) 5" xfId="3079"/>
    <cellStyle name="PrePop Currency (2) 6" xfId="3080"/>
    <cellStyle name="PrePop Currency (2) 7" xfId="3081"/>
    <cellStyle name="PrePop Currency (2) 8" xfId="3082"/>
    <cellStyle name="PrePop Currency (2) 9" xfId="3083"/>
    <cellStyle name="PrePop Units (0)" xfId="3084"/>
    <cellStyle name="PrePop Units (0) 10" xfId="3085"/>
    <cellStyle name="PrePop Units (0) 11" xfId="3086"/>
    <cellStyle name="PrePop Units (0) 12" xfId="3087"/>
    <cellStyle name="PrePop Units (0) 13" xfId="3088"/>
    <cellStyle name="PrePop Units (0) 14" xfId="3089"/>
    <cellStyle name="PrePop Units (0) 15" xfId="3090"/>
    <cellStyle name="PrePop Units (0) 16" xfId="3091"/>
    <cellStyle name="PrePop Units (0) 2" xfId="3092"/>
    <cellStyle name="PrePop Units (0) 3" xfId="3093"/>
    <cellStyle name="PrePop Units (0) 4" xfId="3094"/>
    <cellStyle name="PrePop Units (0) 5" xfId="3095"/>
    <cellStyle name="PrePop Units (0) 6" xfId="3096"/>
    <cellStyle name="PrePop Units (0) 7" xfId="3097"/>
    <cellStyle name="PrePop Units (0) 8" xfId="3098"/>
    <cellStyle name="PrePop Units (0) 9" xfId="3099"/>
    <cellStyle name="PrePop Units (1)" xfId="3100"/>
    <cellStyle name="PrePop Units (1) 10" xfId="3101"/>
    <cellStyle name="PrePop Units (1) 11" xfId="3102"/>
    <cellStyle name="PrePop Units (1) 12" xfId="3103"/>
    <cellStyle name="PrePop Units (1) 13" xfId="3104"/>
    <cellStyle name="PrePop Units (1) 14" xfId="3105"/>
    <cellStyle name="PrePop Units (1) 15" xfId="3106"/>
    <cellStyle name="PrePop Units (1) 16" xfId="3107"/>
    <cellStyle name="PrePop Units (1) 2" xfId="3108"/>
    <cellStyle name="PrePop Units (1) 3" xfId="3109"/>
    <cellStyle name="PrePop Units (1) 4" xfId="3110"/>
    <cellStyle name="PrePop Units (1) 5" xfId="3111"/>
    <cellStyle name="PrePop Units (1) 6" xfId="3112"/>
    <cellStyle name="PrePop Units (1) 7" xfId="3113"/>
    <cellStyle name="PrePop Units (1) 8" xfId="3114"/>
    <cellStyle name="PrePop Units (1) 9" xfId="3115"/>
    <cellStyle name="PrePop Units (2)" xfId="3116"/>
    <cellStyle name="PrePop Units (2) 10" xfId="3117"/>
    <cellStyle name="PrePop Units (2) 11" xfId="3118"/>
    <cellStyle name="PrePop Units (2) 12" xfId="3119"/>
    <cellStyle name="PrePop Units (2) 13" xfId="3120"/>
    <cellStyle name="PrePop Units (2) 14" xfId="3121"/>
    <cellStyle name="PrePop Units (2) 15" xfId="3122"/>
    <cellStyle name="PrePop Units (2) 16" xfId="3123"/>
    <cellStyle name="PrePop Units (2) 2" xfId="3124"/>
    <cellStyle name="PrePop Units (2) 3" xfId="3125"/>
    <cellStyle name="PrePop Units (2) 4" xfId="3126"/>
    <cellStyle name="PrePop Units (2) 5" xfId="3127"/>
    <cellStyle name="PrePop Units (2) 6" xfId="3128"/>
    <cellStyle name="PrePop Units (2) 7" xfId="3129"/>
    <cellStyle name="PrePop Units (2) 8" xfId="3130"/>
    <cellStyle name="PrePop Units (2) 9" xfId="3131"/>
    <cellStyle name="pricing" xfId="3132"/>
    <cellStyle name="pricing 2" xfId="3133"/>
    <cellStyle name="PSChar" xfId="3134"/>
    <cellStyle name="PSHeading" xfId="3135"/>
    <cellStyle name="Quantity" xfId="3136"/>
    <cellStyle name="regstoresfromspecstores" xfId="3137"/>
    <cellStyle name="regstoresfromspecstores 2" xfId="3138"/>
    <cellStyle name="RevList" xfId="3139"/>
    <cellStyle name="rlink_tiªn l­în_x005f_x001b_Hyperlink_TONG HOP KINH PHI" xfId="3140"/>
    <cellStyle name="rmal_ADAdot" xfId="3141"/>
    <cellStyle name="S—_x0008_" xfId="3142"/>
    <cellStyle name="S—_x0008_ 2" xfId="3143"/>
    <cellStyle name="s]_x000a__x000a_spooler=yes_x000a__x000a_load=_x000a__x000a_Beep=yes_x000a__x000a_NullPort=None_x000a__x000a_BorderWidth=3_x000a__x000a_CursorBlinkRate=1200_x000a__x000a_DoubleClickSpeed=452_x000a__x000a_Programs=co" xfId="3144"/>
    <cellStyle name="s]_x000d__x000a_spooler=yes_x000d__x000a_load=_x000d__x000a_Beep=yes_x000d__x000a_NullPort=None_x000d__x000a_BorderWidth=3_x000d__x000a_CursorBlinkRate=1200_x000d__x000a_DoubleClickSpeed=452_x000d__x000a_Programs=co" xfId="3145"/>
    <cellStyle name="s]_x005f_x000d__x005f_x000a_spooler=yes_x005f_x000d__x005f_x000a_load=_x005f_x000d__x005f_x000a_Beep=yes_x005f_x000d__x005f_x000a_NullPort=None_x005f_x000d__x005f_x000a_BorderWidth=3_x005f_x000d__x005f_x000a_CursorBlinkRate=1200_x005f_x000d__x005f_x000a_DoubleClickSpeed=452_x005f_x000d__x005f_x000a_Programs=co" xfId="3146"/>
    <cellStyle name="S—_x0008__KH TPCP vung TNB (03-1-2012)" xfId="3147"/>
    <cellStyle name="S—_x005f_x0008_" xfId="3148"/>
    <cellStyle name="SAPBEXaggData" xfId="3149"/>
    <cellStyle name="SAPBEXaggData 2" xfId="3150"/>
    <cellStyle name="SAPBEXaggDataEmph" xfId="3151"/>
    <cellStyle name="SAPBEXaggDataEmph 2" xfId="3152"/>
    <cellStyle name="SAPBEXaggItem" xfId="3153"/>
    <cellStyle name="SAPBEXaggItem 2" xfId="3154"/>
    <cellStyle name="SAPBEXchaText" xfId="3155"/>
    <cellStyle name="SAPBEXchaText 2" xfId="3156"/>
    <cellStyle name="SAPBEXexcBad7" xfId="3157"/>
    <cellStyle name="SAPBEXexcBad7 2" xfId="3158"/>
    <cellStyle name="SAPBEXexcBad8" xfId="3159"/>
    <cellStyle name="SAPBEXexcBad8 2" xfId="3160"/>
    <cellStyle name="SAPBEXexcBad9" xfId="3161"/>
    <cellStyle name="SAPBEXexcBad9 2" xfId="3162"/>
    <cellStyle name="SAPBEXexcCritical4" xfId="3163"/>
    <cellStyle name="SAPBEXexcCritical4 2" xfId="3164"/>
    <cellStyle name="SAPBEXexcCritical5" xfId="3165"/>
    <cellStyle name="SAPBEXexcCritical5 2" xfId="3166"/>
    <cellStyle name="SAPBEXexcCritical6" xfId="3167"/>
    <cellStyle name="SAPBEXexcCritical6 2" xfId="3168"/>
    <cellStyle name="SAPBEXexcGood1" xfId="3169"/>
    <cellStyle name="SAPBEXexcGood1 2" xfId="3170"/>
    <cellStyle name="SAPBEXexcGood2" xfId="3171"/>
    <cellStyle name="SAPBEXexcGood2 2" xfId="3172"/>
    <cellStyle name="SAPBEXexcGood3" xfId="3173"/>
    <cellStyle name="SAPBEXexcGood3 2" xfId="3174"/>
    <cellStyle name="SAPBEXfilterDrill" xfId="3175"/>
    <cellStyle name="SAPBEXfilterDrill 2" xfId="3176"/>
    <cellStyle name="SAPBEXfilterItem" xfId="3177"/>
    <cellStyle name="SAPBEXfilterItem 2" xfId="3178"/>
    <cellStyle name="SAPBEXfilterText" xfId="3179"/>
    <cellStyle name="SAPBEXfilterText 2" xfId="3180"/>
    <cellStyle name="SAPBEXformats" xfId="3181"/>
    <cellStyle name="SAPBEXformats 2" xfId="3182"/>
    <cellStyle name="SAPBEXheaderItem" xfId="3183"/>
    <cellStyle name="SAPBEXheaderItem 2" xfId="3184"/>
    <cellStyle name="SAPBEXheaderText" xfId="3185"/>
    <cellStyle name="SAPBEXheaderText 2" xfId="3186"/>
    <cellStyle name="SAPBEXresData" xfId="3187"/>
    <cellStyle name="SAPBEXresData 2" xfId="3188"/>
    <cellStyle name="SAPBEXresDataEmph" xfId="3189"/>
    <cellStyle name="SAPBEXresDataEmph 2" xfId="3190"/>
    <cellStyle name="SAPBEXresItem" xfId="3191"/>
    <cellStyle name="SAPBEXresItem 2" xfId="3192"/>
    <cellStyle name="SAPBEXstdData" xfId="3193"/>
    <cellStyle name="SAPBEXstdData 2" xfId="3194"/>
    <cellStyle name="SAPBEXstdDataEmph" xfId="3195"/>
    <cellStyle name="SAPBEXstdDataEmph 2" xfId="3196"/>
    <cellStyle name="SAPBEXstdItem" xfId="3197"/>
    <cellStyle name="SAPBEXstdItem 2" xfId="3198"/>
    <cellStyle name="SAPBEXtitle" xfId="3199"/>
    <cellStyle name="SAPBEXtitle 2" xfId="3200"/>
    <cellStyle name="SAPBEXundefined" xfId="3201"/>
    <cellStyle name="SAPBEXundefined 2" xfId="3202"/>
    <cellStyle name="serJet 1200 Series PCL 6" xfId="3203"/>
    <cellStyle name="SHADEDSTORES" xfId="3204"/>
    <cellStyle name="SHADEDSTORES 2" xfId="3205"/>
    <cellStyle name="songuyen" xfId="3206"/>
    <cellStyle name="specstores" xfId="3207"/>
    <cellStyle name="Standard_AAbgleich" xfId="3208"/>
    <cellStyle name="STTDG" xfId="3209"/>
    <cellStyle name="Style 1" xfId="3210"/>
    <cellStyle name="Style 1 2" xfId="3211"/>
    <cellStyle name="Style 1 3" xfId="3212"/>
    <cellStyle name="Style 10" xfId="3213"/>
    <cellStyle name="Style 10 2" xfId="3214"/>
    <cellStyle name="Style 100" xfId="3215"/>
    <cellStyle name="Style 101" xfId="3216"/>
    <cellStyle name="Style 102" xfId="3217"/>
    <cellStyle name="Style 103" xfId="3218"/>
    <cellStyle name="Style 104" xfId="3219"/>
    <cellStyle name="Style 105" xfId="3220"/>
    <cellStyle name="Style 106" xfId="3221"/>
    <cellStyle name="Style 107" xfId="3222"/>
    <cellStyle name="Style 108" xfId="3223"/>
    <cellStyle name="Style 109" xfId="3224"/>
    <cellStyle name="Style 11" xfId="3225"/>
    <cellStyle name="Style 11 2" xfId="3226"/>
    <cellStyle name="Style 110" xfId="3227"/>
    <cellStyle name="Style 111" xfId="3228"/>
    <cellStyle name="Style 112" xfId="3229"/>
    <cellStyle name="Style 113" xfId="3230"/>
    <cellStyle name="Style 114" xfId="3231"/>
    <cellStyle name="Style 115" xfId="3232"/>
    <cellStyle name="Style 116" xfId="3233"/>
    <cellStyle name="Style 117" xfId="3234"/>
    <cellStyle name="Style 118" xfId="3235"/>
    <cellStyle name="Style 119" xfId="3236"/>
    <cellStyle name="Style 12" xfId="3237"/>
    <cellStyle name="Style 12 2" xfId="3238"/>
    <cellStyle name="Style 120" xfId="3239"/>
    <cellStyle name="Style 121" xfId="3240"/>
    <cellStyle name="Style 122" xfId="3241"/>
    <cellStyle name="Style 123" xfId="3242"/>
    <cellStyle name="Style 124" xfId="3243"/>
    <cellStyle name="Style 125" xfId="3244"/>
    <cellStyle name="Style 126" xfId="3245"/>
    <cellStyle name="Style 127" xfId="3246"/>
    <cellStyle name="Style 128" xfId="3247"/>
    <cellStyle name="Style 129" xfId="3248"/>
    <cellStyle name="Style 13" xfId="3249"/>
    <cellStyle name="Style 13 2" xfId="3250"/>
    <cellStyle name="Style 130" xfId="3251"/>
    <cellStyle name="Style 131" xfId="3252"/>
    <cellStyle name="Style 132" xfId="3253"/>
    <cellStyle name="Style 133" xfId="3254"/>
    <cellStyle name="Style 134" xfId="3255"/>
    <cellStyle name="Style 135" xfId="3256"/>
    <cellStyle name="Style 136" xfId="3257"/>
    <cellStyle name="Style 137" xfId="3258"/>
    <cellStyle name="Style 138" xfId="3259"/>
    <cellStyle name="Style 139" xfId="3260"/>
    <cellStyle name="Style 14" xfId="3261"/>
    <cellStyle name="Style 14 2" xfId="3262"/>
    <cellStyle name="Style 140" xfId="3263"/>
    <cellStyle name="Style 141" xfId="3264"/>
    <cellStyle name="Style 142" xfId="3265"/>
    <cellStyle name="Style 143" xfId="3266"/>
    <cellStyle name="Style 144" xfId="3267"/>
    <cellStyle name="Style 145" xfId="3268"/>
    <cellStyle name="Style 146" xfId="3269"/>
    <cellStyle name="Style 147" xfId="3270"/>
    <cellStyle name="Style 148" xfId="3271"/>
    <cellStyle name="Style 149" xfId="3272"/>
    <cellStyle name="Style 15" xfId="3273"/>
    <cellStyle name="Style 15 2" xfId="3274"/>
    <cellStyle name="Style 150" xfId="3275"/>
    <cellStyle name="Style 151" xfId="3276"/>
    <cellStyle name="Style 152" xfId="3277"/>
    <cellStyle name="Style 153" xfId="3278"/>
    <cellStyle name="Style 154" xfId="3279"/>
    <cellStyle name="Style 155" xfId="3280"/>
    <cellStyle name="Style 16" xfId="3281"/>
    <cellStyle name="Style 16 2" xfId="3282"/>
    <cellStyle name="Style 17" xfId="3283"/>
    <cellStyle name="Style 17 2" xfId="3284"/>
    <cellStyle name="Style 18" xfId="3285"/>
    <cellStyle name="Style 18 2" xfId="3286"/>
    <cellStyle name="Style 19" xfId="3287"/>
    <cellStyle name="Style 19 2" xfId="3288"/>
    <cellStyle name="Style 2" xfId="3289"/>
    <cellStyle name="Style 2 2" xfId="3290"/>
    <cellStyle name="Style 20" xfId="3291"/>
    <cellStyle name="Style 20 2" xfId="3292"/>
    <cellStyle name="Style 21" xfId="3293"/>
    <cellStyle name="Style 21 2" xfId="3294"/>
    <cellStyle name="Style 22" xfId="3295"/>
    <cellStyle name="Style 22 2" xfId="3296"/>
    <cellStyle name="Style 23" xfId="3297"/>
    <cellStyle name="Style 23 2" xfId="3298"/>
    <cellStyle name="Style 24" xfId="3299"/>
    <cellStyle name="Style 24 2" xfId="3300"/>
    <cellStyle name="Style 25" xfId="3301"/>
    <cellStyle name="Style 25 2" xfId="3302"/>
    <cellStyle name="Style 26" xfId="3303"/>
    <cellStyle name="Style 26 2" xfId="3304"/>
    <cellStyle name="Style 27" xfId="3305"/>
    <cellStyle name="Style 27 2" xfId="3306"/>
    <cellStyle name="Style 28" xfId="3307"/>
    <cellStyle name="Style 28 2" xfId="3308"/>
    <cellStyle name="Style 29" xfId="3309"/>
    <cellStyle name="Style 29 2" xfId="3310"/>
    <cellStyle name="Style 3" xfId="3311"/>
    <cellStyle name="Style 3 2" xfId="3312"/>
    <cellStyle name="Style 30" xfId="3313"/>
    <cellStyle name="Style 30 2" xfId="3314"/>
    <cellStyle name="Style 31" xfId="3315"/>
    <cellStyle name="Style 31 2" xfId="3316"/>
    <cellStyle name="Style 32" xfId="3317"/>
    <cellStyle name="Style 32 2" xfId="3318"/>
    <cellStyle name="Style 33" xfId="3319"/>
    <cellStyle name="Style 33 2" xfId="3320"/>
    <cellStyle name="Style 34" xfId="3321"/>
    <cellStyle name="Style 34 2" xfId="3322"/>
    <cellStyle name="Style 35" xfId="3323"/>
    <cellStyle name="Style 35 2" xfId="3324"/>
    <cellStyle name="Style 36" xfId="3325"/>
    <cellStyle name="Style 37" xfId="3326"/>
    <cellStyle name="Style 37 2" xfId="3327"/>
    <cellStyle name="Style 38" xfId="3328"/>
    <cellStyle name="Style 38 2" xfId="3329"/>
    <cellStyle name="Style 39" xfId="3330"/>
    <cellStyle name="Style 39 2" xfId="3331"/>
    <cellStyle name="Style 4" xfId="3332"/>
    <cellStyle name="Style 4 2" xfId="3333"/>
    <cellStyle name="Style 40" xfId="3334"/>
    <cellStyle name="Style 40 2" xfId="3335"/>
    <cellStyle name="Style 41" xfId="3336"/>
    <cellStyle name="Style 41 2" xfId="3337"/>
    <cellStyle name="Style 42" xfId="3338"/>
    <cellStyle name="Style 42 2" xfId="3339"/>
    <cellStyle name="Style 43" xfId="3340"/>
    <cellStyle name="Style 43 2" xfId="3341"/>
    <cellStyle name="Style 44" xfId="3342"/>
    <cellStyle name="Style 44 2" xfId="3343"/>
    <cellStyle name="Style 45" xfId="3344"/>
    <cellStyle name="Style 45 2" xfId="3345"/>
    <cellStyle name="Style 46" xfId="3346"/>
    <cellStyle name="Style 46 2" xfId="3347"/>
    <cellStyle name="Style 47" xfId="3348"/>
    <cellStyle name="Style 47 2" xfId="3349"/>
    <cellStyle name="Style 48" xfId="3350"/>
    <cellStyle name="Style 48 2" xfId="3351"/>
    <cellStyle name="Style 49" xfId="3352"/>
    <cellStyle name="Style 49 2" xfId="3353"/>
    <cellStyle name="Style 5" xfId="3354"/>
    <cellStyle name="Style 50" xfId="3355"/>
    <cellStyle name="Style 50 2" xfId="3356"/>
    <cellStyle name="Style 51" xfId="3357"/>
    <cellStyle name="Style 51 2" xfId="3358"/>
    <cellStyle name="Style 52" xfId="3359"/>
    <cellStyle name="Style 52 2" xfId="3360"/>
    <cellStyle name="Style 53" xfId="3361"/>
    <cellStyle name="Style 53 2" xfId="3362"/>
    <cellStyle name="Style 54" xfId="3363"/>
    <cellStyle name="Style 54 2" xfId="3364"/>
    <cellStyle name="Style 55" xfId="3365"/>
    <cellStyle name="Style 55 2" xfId="3366"/>
    <cellStyle name="Style 56" xfId="3367"/>
    <cellStyle name="Style 57" xfId="3368"/>
    <cellStyle name="Style 58" xfId="3369"/>
    <cellStyle name="Style 59" xfId="3370"/>
    <cellStyle name="Style 6" xfId="3371"/>
    <cellStyle name="Style 6 2" xfId="3372"/>
    <cellStyle name="Style 60" xfId="3373"/>
    <cellStyle name="Style 61" xfId="3374"/>
    <cellStyle name="Style 62" xfId="3375"/>
    <cellStyle name="Style 63" xfId="3376"/>
    <cellStyle name="Style 64" xfId="3377"/>
    <cellStyle name="Style 65" xfId="3378"/>
    <cellStyle name="Style 66" xfId="3379"/>
    <cellStyle name="Style 67" xfId="3380"/>
    <cellStyle name="Style 68" xfId="3381"/>
    <cellStyle name="Style 69" xfId="3382"/>
    <cellStyle name="Style 7" xfId="3383"/>
    <cellStyle name="Style 7 2" xfId="3384"/>
    <cellStyle name="Style 70" xfId="3385"/>
    <cellStyle name="Style 71" xfId="3386"/>
    <cellStyle name="Style 72" xfId="3387"/>
    <cellStyle name="Style 73" xfId="3388"/>
    <cellStyle name="Style 74" xfId="3389"/>
    <cellStyle name="Style 75" xfId="3390"/>
    <cellStyle name="Style 76" xfId="3391"/>
    <cellStyle name="Style 77" xfId="3392"/>
    <cellStyle name="Style 78" xfId="3393"/>
    <cellStyle name="Style 79" xfId="3394"/>
    <cellStyle name="Style 8" xfId="3395"/>
    <cellStyle name="Style 8 2" xfId="3396"/>
    <cellStyle name="Style 80" xfId="3397"/>
    <cellStyle name="Style 81" xfId="3398"/>
    <cellStyle name="Style 82" xfId="3399"/>
    <cellStyle name="Style 83" xfId="3400"/>
    <cellStyle name="Style 84" xfId="3401"/>
    <cellStyle name="Style 85" xfId="3402"/>
    <cellStyle name="Style 86" xfId="3403"/>
    <cellStyle name="Style 87" xfId="3404"/>
    <cellStyle name="Style 88" xfId="3405"/>
    <cellStyle name="Style 89" xfId="3406"/>
    <cellStyle name="Style 9" xfId="3407"/>
    <cellStyle name="Style 9 2" xfId="3408"/>
    <cellStyle name="Style 90" xfId="3409"/>
    <cellStyle name="Style 91" xfId="3410"/>
    <cellStyle name="Style 92" xfId="3411"/>
    <cellStyle name="Style 93" xfId="3412"/>
    <cellStyle name="Style 94" xfId="3413"/>
    <cellStyle name="Style 95" xfId="3414"/>
    <cellStyle name="Style 96" xfId="3415"/>
    <cellStyle name="Style 97" xfId="3416"/>
    <cellStyle name="Style 98" xfId="3417"/>
    <cellStyle name="Style 99" xfId="3418"/>
    <cellStyle name="Style Date" xfId="3419"/>
    <cellStyle name="style_1" xfId="3420"/>
    <cellStyle name="subhead" xfId="3421"/>
    <cellStyle name="subhead 2" xfId="3422"/>
    <cellStyle name="Subtotal" xfId="3423"/>
    <cellStyle name="symbol" xfId="3424"/>
    <cellStyle name="T" xfId="3425"/>
    <cellStyle name="T 2" xfId="3426"/>
    <cellStyle name="T_15_10_2013 BC nhu cau von doi ung ODA (2014-2016) ngay 15102013 Sua" xfId="3427"/>
    <cellStyle name="T_bao cao" xfId="3428"/>
    <cellStyle name="T_bao cao 2" xfId="3429"/>
    <cellStyle name="T_bao cao phan bo KHDT 2011(final)" xfId="3430"/>
    <cellStyle name="T_Bao cao so lieu kiem toan nam 2007 sua" xfId="3431"/>
    <cellStyle name="T_Bao cao so lieu kiem toan nam 2007 sua 2" xfId="3432"/>
    <cellStyle name="T_Bao cao so lieu kiem toan nam 2007 sua_!1 1 bao cao giao KH ve HTCMT vung TNB   12-12-2011" xfId="3433"/>
    <cellStyle name="T_Bao cao so lieu kiem toan nam 2007 sua_!1 1 bao cao giao KH ve HTCMT vung TNB   12-12-2011 2" xfId="3434"/>
    <cellStyle name="T_Bao cao so lieu kiem toan nam 2007 sua_KH TPCP vung TNB (03-1-2012)" xfId="3435"/>
    <cellStyle name="T_Bao cao so lieu kiem toan nam 2007 sua_KH TPCP vung TNB (03-1-2012) 2" xfId="3436"/>
    <cellStyle name="T_bao cao_!1 1 bao cao giao KH ve HTCMT vung TNB   12-12-2011" xfId="3437"/>
    <cellStyle name="T_bao cao_!1 1 bao cao giao KH ve HTCMT vung TNB   12-12-2011 2" xfId="3438"/>
    <cellStyle name="T_bao cao_Bieu4HTMT" xfId="3439"/>
    <cellStyle name="T_bao cao_Bieu4HTMT 2" xfId="3440"/>
    <cellStyle name="T_bao cao_Bieu4HTMT_!1 1 bao cao giao KH ve HTCMT vung TNB   12-12-2011" xfId="3441"/>
    <cellStyle name="T_bao cao_Bieu4HTMT_!1 1 bao cao giao KH ve HTCMT vung TNB   12-12-2011 2" xfId="3442"/>
    <cellStyle name="T_bao cao_Bieu4HTMT_KH TPCP vung TNB (03-1-2012)" xfId="3443"/>
    <cellStyle name="T_bao cao_Bieu4HTMT_KH TPCP vung TNB (03-1-2012) 2" xfId="3444"/>
    <cellStyle name="T_bao cao_KH TPCP vung TNB (03-1-2012)" xfId="3445"/>
    <cellStyle name="T_bao cao_KH TPCP vung TNB (03-1-2012) 2" xfId="3446"/>
    <cellStyle name="T_BBTNG-06" xfId="3447"/>
    <cellStyle name="T_BBTNG-06 2" xfId="3448"/>
    <cellStyle name="T_BBTNG-06_!1 1 bao cao giao KH ve HTCMT vung TNB   12-12-2011" xfId="3449"/>
    <cellStyle name="T_BBTNG-06_!1 1 bao cao giao KH ve HTCMT vung TNB   12-12-2011 2" xfId="3450"/>
    <cellStyle name="T_BBTNG-06_Bieu4HTMT" xfId="3451"/>
    <cellStyle name="T_BBTNG-06_Bieu4HTMT 2" xfId="3452"/>
    <cellStyle name="T_BBTNG-06_Bieu4HTMT_!1 1 bao cao giao KH ve HTCMT vung TNB   12-12-2011" xfId="3453"/>
    <cellStyle name="T_BBTNG-06_Bieu4HTMT_!1 1 bao cao giao KH ve HTCMT vung TNB   12-12-2011 2" xfId="3454"/>
    <cellStyle name="T_BBTNG-06_Bieu4HTMT_KH TPCP vung TNB (03-1-2012)" xfId="3455"/>
    <cellStyle name="T_BBTNG-06_Bieu4HTMT_KH TPCP vung TNB (03-1-2012) 2" xfId="3456"/>
    <cellStyle name="T_BBTNG-06_KH TPCP vung TNB (03-1-2012)" xfId="3457"/>
    <cellStyle name="T_BBTNG-06_KH TPCP vung TNB (03-1-2012) 2" xfId="3458"/>
    <cellStyle name="T_BC  NAM 2007" xfId="3459"/>
    <cellStyle name="T_BC  NAM 2007 2" xfId="3460"/>
    <cellStyle name="T_BC CTMT-2008 Ttinh" xfId="3461"/>
    <cellStyle name="T_BC CTMT-2008 Ttinh 2" xfId="3462"/>
    <cellStyle name="T_BC CTMT-2008 Ttinh_!1 1 bao cao giao KH ve HTCMT vung TNB   12-12-2011" xfId="3463"/>
    <cellStyle name="T_BC CTMT-2008 Ttinh_!1 1 bao cao giao KH ve HTCMT vung TNB   12-12-2011 2" xfId="3464"/>
    <cellStyle name="T_BC CTMT-2008 Ttinh_KH TPCP vung TNB (03-1-2012)" xfId="3465"/>
    <cellStyle name="T_BC CTMT-2008 Ttinh_KH TPCP vung TNB (03-1-2012) 2" xfId="3466"/>
    <cellStyle name="T_BC nhu cau von doi ung ODA nganh NN (BKH)" xfId="3467"/>
    <cellStyle name="T_BC nhu cau von doi ung ODA nganh NN (BKH)_05-12  KH trung han 2016-2020 - Liem Thinh edited" xfId="3468"/>
    <cellStyle name="T_BC nhu cau von doi ung ODA nganh NN (BKH)_Copy of 05-12  KH trung han 2016-2020 - Liem Thinh edited (1)" xfId="3469"/>
    <cellStyle name="T_BC Tai co cau (bieu TH)" xfId="3470"/>
    <cellStyle name="T_BC Tai co cau (bieu TH)_05-12  KH trung han 2016-2020 - Liem Thinh edited" xfId="3471"/>
    <cellStyle name="T_BC Tai co cau (bieu TH)_Copy of 05-12  KH trung han 2016-2020 - Liem Thinh edited (1)" xfId="3472"/>
    <cellStyle name="T_Bieu 4.2 A, B KHCTgiong 2011" xfId="3473"/>
    <cellStyle name="T_Bieu 4.2 A, B KHCTgiong 2011 10" xfId="3474"/>
    <cellStyle name="T_Bieu 4.2 A, B KHCTgiong 2011 11" xfId="3475"/>
    <cellStyle name="T_Bieu 4.2 A, B KHCTgiong 2011 12" xfId="3476"/>
    <cellStyle name="T_Bieu 4.2 A, B KHCTgiong 2011 13" xfId="3477"/>
    <cellStyle name="T_Bieu 4.2 A, B KHCTgiong 2011 14" xfId="3478"/>
    <cellStyle name="T_Bieu 4.2 A, B KHCTgiong 2011 15" xfId="3479"/>
    <cellStyle name="T_Bieu 4.2 A, B KHCTgiong 2011 2" xfId="3480"/>
    <cellStyle name="T_Bieu 4.2 A, B KHCTgiong 2011 3" xfId="3481"/>
    <cellStyle name="T_Bieu 4.2 A, B KHCTgiong 2011 4" xfId="3482"/>
    <cellStyle name="T_Bieu 4.2 A, B KHCTgiong 2011 5" xfId="3483"/>
    <cellStyle name="T_Bieu 4.2 A, B KHCTgiong 2011 6" xfId="3484"/>
    <cellStyle name="T_Bieu 4.2 A, B KHCTgiong 2011 7" xfId="3485"/>
    <cellStyle name="T_Bieu 4.2 A, B KHCTgiong 2011 8" xfId="3486"/>
    <cellStyle name="T_Bieu 4.2 A, B KHCTgiong 2011 9" xfId="3487"/>
    <cellStyle name="T_Bieu mau cong trinh khoi cong moi 3-4" xfId="3488"/>
    <cellStyle name="T_Bieu mau cong trinh khoi cong moi 3-4 2" xfId="3489"/>
    <cellStyle name="T_Bieu mau cong trinh khoi cong moi 3-4_!1 1 bao cao giao KH ve HTCMT vung TNB   12-12-2011" xfId="3490"/>
    <cellStyle name="T_Bieu mau cong trinh khoi cong moi 3-4_!1 1 bao cao giao KH ve HTCMT vung TNB   12-12-2011 2" xfId="3491"/>
    <cellStyle name="T_Bieu mau cong trinh khoi cong moi 3-4_KH TPCP vung TNB (03-1-2012)" xfId="3492"/>
    <cellStyle name="T_Bieu mau cong trinh khoi cong moi 3-4_KH TPCP vung TNB (03-1-2012) 2" xfId="3493"/>
    <cellStyle name="T_Bieu mau danh muc du an thuoc CTMTQG nam 2008" xfId="3494"/>
    <cellStyle name="T_Bieu mau danh muc du an thuoc CTMTQG nam 2008 2" xfId="3495"/>
    <cellStyle name="T_Bieu mau danh muc du an thuoc CTMTQG nam 2008_!1 1 bao cao giao KH ve HTCMT vung TNB   12-12-2011" xfId="3496"/>
    <cellStyle name="T_Bieu mau danh muc du an thuoc CTMTQG nam 2008_!1 1 bao cao giao KH ve HTCMT vung TNB   12-12-2011 2" xfId="3497"/>
    <cellStyle name="T_Bieu mau danh muc du an thuoc CTMTQG nam 2008_KH TPCP vung TNB (03-1-2012)" xfId="3498"/>
    <cellStyle name="T_Bieu mau danh muc du an thuoc CTMTQG nam 2008_KH TPCP vung TNB (03-1-2012) 2" xfId="3499"/>
    <cellStyle name="T_Bieu tong hop nhu cau ung 2011 da chon loc -Mien nui" xfId="3500"/>
    <cellStyle name="T_Bieu tong hop nhu cau ung 2011 da chon loc -Mien nui 2" xfId="3501"/>
    <cellStyle name="T_Bieu tong hop nhu cau ung 2011 da chon loc -Mien nui_!1 1 bao cao giao KH ve HTCMT vung TNB   12-12-2011" xfId="3502"/>
    <cellStyle name="T_Bieu tong hop nhu cau ung 2011 da chon loc -Mien nui_!1 1 bao cao giao KH ve HTCMT vung TNB   12-12-2011 2" xfId="3503"/>
    <cellStyle name="T_Bieu tong hop nhu cau ung 2011 da chon loc -Mien nui_KH TPCP vung TNB (03-1-2012)" xfId="3504"/>
    <cellStyle name="T_Bieu tong hop nhu cau ung 2011 da chon loc -Mien nui_KH TPCP vung TNB (03-1-2012) 2" xfId="3505"/>
    <cellStyle name="T_Bieu3ODA" xfId="3506"/>
    <cellStyle name="T_Bieu3ODA 2" xfId="3507"/>
    <cellStyle name="T_Bieu3ODA_!1 1 bao cao giao KH ve HTCMT vung TNB   12-12-2011" xfId="3508"/>
    <cellStyle name="T_Bieu3ODA_!1 1 bao cao giao KH ve HTCMT vung TNB   12-12-2011 2" xfId="3509"/>
    <cellStyle name="T_Bieu3ODA_1" xfId="3510"/>
    <cellStyle name="T_Bieu3ODA_1 2" xfId="3511"/>
    <cellStyle name="T_Bieu3ODA_1_!1 1 bao cao giao KH ve HTCMT vung TNB   12-12-2011" xfId="3512"/>
    <cellStyle name="T_Bieu3ODA_1_!1 1 bao cao giao KH ve HTCMT vung TNB   12-12-2011 2" xfId="3513"/>
    <cellStyle name="T_Bieu3ODA_1_KH TPCP vung TNB (03-1-2012)" xfId="3514"/>
    <cellStyle name="T_Bieu3ODA_1_KH TPCP vung TNB (03-1-2012) 2" xfId="3515"/>
    <cellStyle name="T_Bieu3ODA_KH TPCP vung TNB (03-1-2012)" xfId="3516"/>
    <cellStyle name="T_Bieu3ODA_KH TPCP vung TNB (03-1-2012) 2" xfId="3517"/>
    <cellStyle name="T_Bieu4HTMT" xfId="3518"/>
    <cellStyle name="T_Bieu4HTMT 2" xfId="3519"/>
    <cellStyle name="T_Bieu4HTMT_!1 1 bao cao giao KH ve HTCMT vung TNB   12-12-2011" xfId="3520"/>
    <cellStyle name="T_Bieu4HTMT_!1 1 bao cao giao KH ve HTCMT vung TNB   12-12-2011 2" xfId="3521"/>
    <cellStyle name="T_Bieu4HTMT_KH TPCP vung TNB (03-1-2012)" xfId="3522"/>
    <cellStyle name="T_Bieu4HTMT_KH TPCP vung TNB (03-1-2012) 2" xfId="3523"/>
    <cellStyle name="T_bo sung von KCH nam 2010 va Du an tre kho khan" xfId="3524"/>
    <cellStyle name="T_bo sung von KCH nam 2010 va Du an tre kho khan 2" xfId="3525"/>
    <cellStyle name="T_bo sung von KCH nam 2010 va Du an tre kho khan_!1 1 bao cao giao KH ve HTCMT vung TNB   12-12-2011" xfId="3526"/>
    <cellStyle name="T_bo sung von KCH nam 2010 va Du an tre kho khan_!1 1 bao cao giao KH ve HTCMT vung TNB   12-12-2011 2" xfId="3527"/>
    <cellStyle name="T_bo sung von KCH nam 2010 va Du an tre kho khan_KH TPCP vung TNB (03-1-2012)" xfId="3528"/>
    <cellStyle name="T_bo sung von KCH nam 2010 va Du an tre kho khan_KH TPCP vung TNB (03-1-2012) 2" xfId="3529"/>
    <cellStyle name="T_Book1" xfId="3530"/>
    <cellStyle name="T_Book1 2" xfId="3531"/>
    <cellStyle name="T_Book1 3" xfId="3532"/>
    <cellStyle name="T_Book1_!1 1 bao cao giao KH ve HTCMT vung TNB   12-12-2011" xfId="3533"/>
    <cellStyle name="T_Book1_!1 1 bao cao giao KH ve HTCMT vung TNB   12-12-2011 2" xfId="3534"/>
    <cellStyle name="T_Book1_1" xfId="3535"/>
    <cellStyle name="T_Book1_1 2" xfId="3536"/>
    <cellStyle name="T_Book1_1_Bieu tong hop nhu cau ung 2011 da chon loc -Mien nui" xfId="3537"/>
    <cellStyle name="T_Book1_1_Bieu tong hop nhu cau ung 2011 da chon loc -Mien nui 2" xfId="3538"/>
    <cellStyle name="T_Book1_1_Bieu tong hop nhu cau ung 2011 da chon loc -Mien nui_!1 1 bao cao giao KH ve HTCMT vung TNB   12-12-2011" xfId="3539"/>
    <cellStyle name="T_Book1_1_Bieu tong hop nhu cau ung 2011 da chon loc -Mien nui_!1 1 bao cao giao KH ve HTCMT vung TNB   12-12-2011 2" xfId="3540"/>
    <cellStyle name="T_Book1_1_Bieu tong hop nhu cau ung 2011 da chon loc -Mien nui_KH TPCP vung TNB (03-1-2012)" xfId="3541"/>
    <cellStyle name="T_Book1_1_Bieu tong hop nhu cau ung 2011 da chon loc -Mien nui_KH TPCP vung TNB (03-1-2012) 2" xfId="3542"/>
    <cellStyle name="T_Book1_1_Bieu3ODA" xfId="3543"/>
    <cellStyle name="T_Book1_1_Bieu3ODA 2" xfId="3544"/>
    <cellStyle name="T_Book1_1_Bieu3ODA_!1 1 bao cao giao KH ve HTCMT vung TNB   12-12-2011" xfId="3545"/>
    <cellStyle name="T_Book1_1_Bieu3ODA_!1 1 bao cao giao KH ve HTCMT vung TNB   12-12-2011 2" xfId="3546"/>
    <cellStyle name="T_Book1_1_Bieu3ODA_KH TPCP vung TNB (03-1-2012)" xfId="3547"/>
    <cellStyle name="T_Book1_1_Bieu3ODA_KH TPCP vung TNB (03-1-2012) 2" xfId="3548"/>
    <cellStyle name="T_Book1_1_CPK" xfId="3549"/>
    <cellStyle name="T_Book1_1_CPK 2" xfId="3550"/>
    <cellStyle name="T_Book1_1_CPK_!1 1 bao cao giao KH ve HTCMT vung TNB   12-12-2011" xfId="3551"/>
    <cellStyle name="T_Book1_1_CPK_!1 1 bao cao giao KH ve HTCMT vung TNB   12-12-2011 2" xfId="3552"/>
    <cellStyle name="T_Book1_1_CPK_Bieu4HTMT" xfId="3553"/>
    <cellStyle name="T_Book1_1_CPK_Bieu4HTMT 2" xfId="3554"/>
    <cellStyle name="T_Book1_1_CPK_Bieu4HTMT_!1 1 bao cao giao KH ve HTCMT vung TNB   12-12-2011" xfId="3555"/>
    <cellStyle name="T_Book1_1_CPK_Bieu4HTMT_!1 1 bao cao giao KH ve HTCMT vung TNB   12-12-2011 2" xfId="3556"/>
    <cellStyle name="T_Book1_1_CPK_Bieu4HTMT_KH TPCP vung TNB (03-1-2012)" xfId="3557"/>
    <cellStyle name="T_Book1_1_CPK_Bieu4HTMT_KH TPCP vung TNB (03-1-2012) 2" xfId="3558"/>
    <cellStyle name="T_Book1_1_CPK_KH TPCP vung TNB (03-1-2012)" xfId="3559"/>
    <cellStyle name="T_Book1_1_CPK_KH TPCP vung TNB (03-1-2012) 2" xfId="3560"/>
    <cellStyle name="T_Book1_1_kien giang 2" xfId="3563"/>
    <cellStyle name="T_Book1_1_kien giang 2 2" xfId="3564"/>
    <cellStyle name="T_Book1_1_KH TPCP vung TNB (03-1-2012)" xfId="3561"/>
    <cellStyle name="T_Book1_1_KH TPCP vung TNB (03-1-2012) 2" xfId="3562"/>
    <cellStyle name="T_Book1_1_Luy ke von ung nam 2011 -Thoa gui ngay 12-8-2012" xfId="3565"/>
    <cellStyle name="T_Book1_1_Luy ke von ung nam 2011 -Thoa gui ngay 12-8-2012 2" xfId="3566"/>
    <cellStyle name="T_Book1_1_Luy ke von ung nam 2011 -Thoa gui ngay 12-8-2012_!1 1 bao cao giao KH ve HTCMT vung TNB   12-12-2011" xfId="3567"/>
    <cellStyle name="T_Book1_1_Luy ke von ung nam 2011 -Thoa gui ngay 12-8-2012_!1 1 bao cao giao KH ve HTCMT vung TNB   12-12-2011 2" xfId="3568"/>
    <cellStyle name="T_Book1_1_Luy ke von ung nam 2011 -Thoa gui ngay 12-8-2012_KH TPCP vung TNB (03-1-2012)" xfId="3569"/>
    <cellStyle name="T_Book1_1_Luy ke von ung nam 2011 -Thoa gui ngay 12-8-2012_KH TPCP vung TNB (03-1-2012) 2" xfId="3570"/>
    <cellStyle name="T_Book1_1_Thiet bi" xfId="3571"/>
    <cellStyle name="T_Book1_1_Thiet bi 2" xfId="3572"/>
    <cellStyle name="T_Book1_1_Thiet bi_!1 1 bao cao giao KH ve HTCMT vung TNB   12-12-2011" xfId="3573"/>
    <cellStyle name="T_Book1_1_Thiet bi_!1 1 bao cao giao KH ve HTCMT vung TNB   12-12-2011 2" xfId="3574"/>
    <cellStyle name="T_Book1_1_Thiet bi_Bieu4HTMT" xfId="3575"/>
    <cellStyle name="T_Book1_1_Thiet bi_Bieu4HTMT 2" xfId="3576"/>
    <cellStyle name="T_Book1_1_Thiet bi_Bieu4HTMT_!1 1 bao cao giao KH ve HTCMT vung TNB   12-12-2011" xfId="3577"/>
    <cellStyle name="T_Book1_1_Thiet bi_Bieu4HTMT_!1 1 bao cao giao KH ve HTCMT vung TNB   12-12-2011 2" xfId="3578"/>
    <cellStyle name="T_Book1_1_Thiet bi_Bieu4HTMT_KH TPCP vung TNB (03-1-2012)" xfId="3579"/>
    <cellStyle name="T_Book1_1_Thiet bi_Bieu4HTMT_KH TPCP vung TNB (03-1-2012) 2" xfId="3580"/>
    <cellStyle name="T_Book1_1_Thiet bi_KH TPCP vung TNB (03-1-2012)" xfId="3581"/>
    <cellStyle name="T_Book1_1_Thiet bi_KH TPCP vung TNB (03-1-2012) 2" xfId="3582"/>
    <cellStyle name="T_Book1_15_10_2013 BC nhu cau von doi ung ODA (2014-2016) ngay 15102013 Sua" xfId="3583"/>
    <cellStyle name="T_Book1_bao cao phan bo KHDT 2011(final)" xfId="3584"/>
    <cellStyle name="T_Book1_bao cao phan bo KHDT 2011(final)_BC nhu cau von doi ung ODA nganh NN (BKH)" xfId="3585"/>
    <cellStyle name="T_Book1_bao cao phan bo KHDT 2011(final)_BC Tai co cau (bieu TH)" xfId="3586"/>
    <cellStyle name="T_Book1_bao cao phan bo KHDT 2011(final)_DK 2014-2015 final" xfId="3587"/>
    <cellStyle name="T_Book1_bao cao phan bo KHDT 2011(final)_DK 2014-2015 new" xfId="3588"/>
    <cellStyle name="T_Book1_bao cao phan bo KHDT 2011(final)_DK KH CBDT 2014 11-11-2013" xfId="3589"/>
    <cellStyle name="T_Book1_bao cao phan bo KHDT 2011(final)_DK KH CBDT 2014 11-11-2013(1)" xfId="3590"/>
    <cellStyle name="T_Book1_bao cao phan bo KHDT 2011(final)_KH 2011-2015" xfId="3591"/>
    <cellStyle name="T_Book1_bao cao phan bo KHDT 2011(final)_tai co cau dau tu (tong hop)1" xfId="3592"/>
    <cellStyle name="T_Book1_BC NQ11-CP - chinh sua lai" xfId="3596"/>
    <cellStyle name="T_Book1_BC NQ11-CP - chinh sua lai 2" xfId="3597"/>
    <cellStyle name="T_Book1_BC NQ11-CP-Quynh sau bieu so3" xfId="3598"/>
    <cellStyle name="T_Book1_BC NQ11-CP-Quynh sau bieu so3 2" xfId="3599"/>
    <cellStyle name="T_Book1_BC nhu cau von doi ung ODA nganh NN (BKH)" xfId="3593"/>
    <cellStyle name="T_Book1_BC nhu cau von doi ung ODA nganh NN (BKH)_05-12  KH trung han 2016-2020 - Liem Thinh edited" xfId="3594"/>
    <cellStyle name="T_Book1_BC nhu cau von doi ung ODA nganh NN (BKH)_Copy of 05-12  KH trung han 2016-2020 - Liem Thinh edited (1)" xfId="3595"/>
    <cellStyle name="T_Book1_BC Tai co cau (bieu TH)" xfId="3600"/>
    <cellStyle name="T_Book1_BC Tai co cau (bieu TH)_05-12  KH trung han 2016-2020 - Liem Thinh edited" xfId="3601"/>
    <cellStyle name="T_Book1_BC Tai co cau (bieu TH)_Copy of 05-12  KH trung han 2016-2020 - Liem Thinh edited (1)" xfId="3602"/>
    <cellStyle name="T_Book1_BC_NQ11-CP_-_Thao_sua_lai" xfId="3603"/>
    <cellStyle name="T_Book1_BC_NQ11-CP_-_Thao_sua_lai 2" xfId="3604"/>
    <cellStyle name="T_Book1_Bieu mau cong trinh khoi cong moi 3-4" xfId="3605"/>
    <cellStyle name="T_Book1_Bieu mau cong trinh khoi cong moi 3-4 2" xfId="3606"/>
    <cellStyle name="T_Book1_Bieu mau cong trinh khoi cong moi 3-4_!1 1 bao cao giao KH ve HTCMT vung TNB   12-12-2011" xfId="3607"/>
    <cellStyle name="T_Book1_Bieu mau cong trinh khoi cong moi 3-4_!1 1 bao cao giao KH ve HTCMT vung TNB   12-12-2011 2" xfId="3608"/>
    <cellStyle name="T_Book1_Bieu mau cong trinh khoi cong moi 3-4_KH TPCP vung TNB (03-1-2012)" xfId="3609"/>
    <cellStyle name="T_Book1_Bieu mau cong trinh khoi cong moi 3-4_KH TPCP vung TNB (03-1-2012) 2" xfId="3610"/>
    <cellStyle name="T_Book1_Bieu mau danh muc du an thuoc CTMTQG nam 2008" xfId="3611"/>
    <cellStyle name="T_Book1_Bieu mau danh muc du an thuoc CTMTQG nam 2008 2" xfId="3612"/>
    <cellStyle name="T_Book1_Bieu mau danh muc du an thuoc CTMTQG nam 2008_!1 1 bao cao giao KH ve HTCMT vung TNB   12-12-2011" xfId="3613"/>
    <cellStyle name="T_Book1_Bieu mau danh muc du an thuoc CTMTQG nam 2008_!1 1 bao cao giao KH ve HTCMT vung TNB   12-12-2011 2" xfId="3614"/>
    <cellStyle name="T_Book1_Bieu mau danh muc du an thuoc CTMTQG nam 2008_KH TPCP vung TNB (03-1-2012)" xfId="3615"/>
    <cellStyle name="T_Book1_Bieu mau danh muc du an thuoc CTMTQG nam 2008_KH TPCP vung TNB (03-1-2012) 2" xfId="3616"/>
    <cellStyle name="T_Book1_Bieu tong hop nhu cau ung 2011 da chon loc -Mien nui" xfId="3617"/>
    <cellStyle name="T_Book1_Bieu tong hop nhu cau ung 2011 da chon loc -Mien nui 2" xfId="3618"/>
    <cellStyle name="T_Book1_Bieu tong hop nhu cau ung 2011 da chon loc -Mien nui_!1 1 bao cao giao KH ve HTCMT vung TNB   12-12-2011" xfId="3619"/>
    <cellStyle name="T_Book1_Bieu tong hop nhu cau ung 2011 da chon loc -Mien nui_!1 1 bao cao giao KH ve HTCMT vung TNB   12-12-2011 2" xfId="3620"/>
    <cellStyle name="T_Book1_Bieu tong hop nhu cau ung 2011 da chon loc -Mien nui_KH TPCP vung TNB (03-1-2012)" xfId="3621"/>
    <cellStyle name="T_Book1_Bieu tong hop nhu cau ung 2011 da chon loc -Mien nui_KH TPCP vung TNB (03-1-2012) 2" xfId="3622"/>
    <cellStyle name="T_Book1_Bieu3ODA" xfId="3623"/>
    <cellStyle name="T_Book1_Bieu3ODA 2" xfId="3624"/>
    <cellStyle name="T_Book1_Bieu3ODA_!1 1 bao cao giao KH ve HTCMT vung TNB   12-12-2011" xfId="3625"/>
    <cellStyle name="T_Book1_Bieu3ODA_!1 1 bao cao giao KH ve HTCMT vung TNB   12-12-2011 2" xfId="3626"/>
    <cellStyle name="T_Book1_Bieu3ODA_1" xfId="3627"/>
    <cellStyle name="T_Book1_Bieu3ODA_1 2" xfId="3628"/>
    <cellStyle name="T_Book1_Bieu3ODA_1_!1 1 bao cao giao KH ve HTCMT vung TNB   12-12-2011" xfId="3629"/>
    <cellStyle name="T_Book1_Bieu3ODA_1_!1 1 bao cao giao KH ve HTCMT vung TNB   12-12-2011 2" xfId="3630"/>
    <cellStyle name="T_Book1_Bieu3ODA_1_KH TPCP vung TNB (03-1-2012)" xfId="3631"/>
    <cellStyle name="T_Book1_Bieu3ODA_1_KH TPCP vung TNB (03-1-2012) 2" xfId="3632"/>
    <cellStyle name="T_Book1_Bieu3ODA_KH TPCP vung TNB (03-1-2012)" xfId="3633"/>
    <cellStyle name="T_Book1_Bieu3ODA_KH TPCP vung TNB (03-1-2012) 2" xfId="3634"/>
    <cellStyle name="T_Book1_Bieu4HTMT" xfId="3635"/>
    <cellStyle name="T_Book1_Bieu4HTMT 2" xfId="3636"/>
    <cellStyle name="T_Book1_Bieu4HTMT_!1 1 bao cao giao KH ve HTCMT vung TNB   12-12-2011" xfId="3637"/>
    <cellStyle name="T_Book1_Bieu4HTMT_!1 1 bao cao giao KH ve HTCMT vung TNB   12-12-2011 2" xfId="3638"/>
    <cellStyle name="T_Book1_Bieu4HTMT_KH TPCP vung TNB (03-1-2012)" xfId="3639"/>
    <cellStyle name="T_Book1_Bieu4HTMT_KH TPCP vung TNB (03-1-2012) 2" xfId="3640"/>
    <cellStyle name="T_Book1_Book1" xfId="3641"/>
    <cellStyle name="T_Book1_Book1 2" xfId="3642"/>
    <cellStyle name="T_Book1_Cong trinh co y kien LD_Dang_NN_2011-Tay nguyen-9-10" xfId="3643"/>
    <cellStyle name="T_Book1_Cong trinh co y kien LD_Dang_NN_2011-Tay nguyen-9-10 2" xfId="3644"/>
    <cellStyle name="T_Book1_Cong trinh co y kien LD_Dang_NN_2011-Tay nguyen-9-10_!1 1 bao cao giao KH ve HTCMT vung TNB   12-12-2011" xfId="3645"/>
    <cellStyle name="T_Book1_Cong trinh co y kien LD_Dang_NN_2011-Tay nguyen-9-10_!1 1 bao cao giao KH ve HTCMT vung TNB   12-12-2011 2" xfId="3646"/>
    <cellStyle name="T_Book1_Cong trinh co y kien LD_Dang_NN_2011-Tay nguyen-9-10_Bieu4HTMT" xfId="3647"/>
    <cellStyle name="T_Book1_Cong trinh co y kien LD_Dang_NN_2011-Tay nguyen-9-10_Bieu4HTMT 2" xfId="3648"/>
    <cellStyle name="T_Book1_Cong trinh co y kien LD_Dang_NN_2011-Tay nguyen-9-10_KH TPCP vung TNB (03-1-2012)" xfId="3649"/>
    <cellStyle name="T_Book1_Cong trinh co y kien LD_Dang_NN_2011-Tay nguyen-9-10_KH TPCP vung TNB (03-1-2012) 2" xfId="3650"/>
    <cellStyle name="T_Book1_CPK" xfId="3651"/>
    <cellStyle name="T_Book1_CPK 2" xfId="3652"/>
    <cellStyle name="T_Book1_danh muc chuan bi dau tu 2011 ngay 07-6-2011" xfId="3653"/>
    <cellStyle name="T_Book1_danh muc chuan bi dau tu 2011 ngay 07-6-2011 2" xfId="3654"/>
    <cellStyle name="T_Book1_dieu chinh KH 2011 ngay 26-5-2011111" xfId="3655"/>
    <cellStyle name="T_Book1_dieu chinh KH 2011 ngay 26-5-2011111 2" xfId="3656"/>
    <cellStyle name="T_Book1_DK 2014-2015 final" xfId="3657"/>
    <cellStyle name="T_Book1_DK 2014-2015 final_05-12  KH trung han 2016-2020 - Liem Thinh edited" xfId="3658"/>
    <cellStyle name="T_Book1_DK 2014-2015 final_Copy of 05-12  KH trung han 2016-2020 - Liem Thinh edited (1)" xfId="3659"/>
    <cellStyle name="T_Book1_DK 2014-2015 new" xfId="3660"/>
    <cellStyle name="T_Book1_DK 2014-2015 new_05-12  KH trung han 2016-2020 - Liem Thinh edited" xfId="3661"/>
    <cellStyle name="T_Book1_DK 2014-2015 new_Copy of 05-12  KH trung han 2016-2020 - Liem Thinh edited (1)" xfId="3662"/>
    <cellStyle name="T_Book1_DK KH CBDT 2014 11-11-2013" xfId="3663"/>
    <cellStyle name="T_Book1_DK KH CBDT 2014 11-11-2013(1)" xfId="3664"/>
    <cellStyle name="T_Book1_DK KH CBDT 2014 11-11-2013(1)_05-12  KH trung han 2016-2020 - Liem Thinh edited" xfId="3665"/>
    <cellStyle name="T_Book1_DK KH CBDT 2014 11-11-2013(1)_Copy of 05-12  KH trung han 2016-2020 - Liem Thinh edited (1)" xfId="3666"/>
    <cellStyle name="T_Book1_DK KH CBDT 2014 11-11-2013_05-12  KH trung han 2016-2020 - Liem Thinh edited" xfId="3667"/>
    <cellStyle name="T_Book1_DK KH CBDT 2014 11-11-2013_Copy of 05-12  KH trung han 2016-2020 - Liem Thinh edited (1)" xfId="3668"/>
    <cellStyle name="T_Book1_Du an khoi cong moi nam 2010" xfId="3669"/>
    <cellStyle name="T_Book1_Du an khoi cong moi nam 2010 2" xfId="3670"/>
    <cellStyle name="T_Book1_Du an khoi cong moi nam 2010_!1 1 bao cao giao KH ve HTCMT vung TNB   12-12-2011" xfId="3671"/>
    <cellStyle name="T_Book1_Du an khoi cong moi nam 2010_!1 1 bao cao giao KH ve HTCMT vung TNB   12-12-2011 2" xfId="3672"/>
    <cellStyle name="T_Book1_Du an khoi cong moi nam 2010_KH TPCP vung TNB (03-1-2012)" xfId="3673"/>
    <cellStyle name="T_Book1_Du an khoi cong moi nam 2010_KH TPCP vung TNB (03-1-2012) 2" xfId="3674"/>
    <cellStyle name="T_Book1_giao KH 2011 ngay 10-12-2010" xfId="3675"/>
    <cellStyle name="T_Book1_giao KH 2011 ngay 10-12-2010 2" xfId="3676"/>
    <cellStyle name="T_Book1_Hang Tom goi9 9-07(Cau 12 sua)" xfId="3677"/>
    <cellStyle name="T_Book1_Hang Tom goi9 9-07(Cau 12 sua) 2" xfId="3678"/>
    <cellStyle name="T_Book1_Ket qua phan bo von nam 2008" xfId="3679"/>
    <cellStyle name="T_Book1_Ket qua phan bo von nam 2008 2" xfId="3680"/>
    <cellStyle name="T_Book1_Ket qua phan bo von nam 2008_!1 1 bao cao giao KH ve HTCMT vung TNB   12-12-2011" xfId="3681"/>
    <cellStyle name="T_Book1_Ket qua phan bo von nam 2008_!1 1 bao cao giao KH ve HTCMT vung TNB   12-12-2011 2" xfId="3682"/>
    <cellStyle name="T_Book1_Ket qua phan bo von nam 2008_KH TPCP vung TNB (03-1-2012)" xfId="3683"/>
    <cellStyle name="T_Book1_Ket qua phan bo von nam 2008_KH TPCP vung TNB (03-1-2012) 2" xfId="3684"/>
    <cellStyle name="T_Book1_kien giang 2" xfId="3695"/>
    <cellStyle name="T_Book1_kien giang 2 2" xfId="3696"/>
    <cellStyle name="T_Book1_KH TPCP vung TNB (03-1-2012)" xfId="3685"/>
    <cellStyle name="T_Book1_KH TPCP vung TNB (03-1-2012) 2" xfId="3686"/>
    <cellStyle name="T_Book1_KH XDCB_2008 lan 2 sua ngay 10-11" xfId="3687"/>
    <cellStyle name="T_Book1_KH XDCB_2008 lan 2 sua ngay 10-11 2" xfId="3688"/>
    <cellStyle name="T_Book1_KH XDCB_2008 lan 2 sua ngay 10-11_!1 1 bao cao giao KH ve HTCMT vung TNB   12-12-2011" xfId="3689"/>
    <cellStyle name="T_Book1_KH XDCB_2008 lan 2 sua ngay 10-11_!1 1 bao cao giao KH ve HTCMT vung TNB   12-12-2011 2" xfId="3690"/>
    <cellStyle name="T_Book1_KH XDCB_2008 lan 2 sua ngay 10-11_KH TPCP vung TNB (03-1-2012)" xfId="3691"/>
    <cellStyle name="T_Book1_KH XDCB_2008 lan 2 sua ngay 10-11_KH TPCP vung TNB (03-1-2012) 2" xfId="3692"/>
    <cellStyle name="T_Book1_Khoi luong chinh Hang Tom" xfId="3693"/>
    <cellStyle name="T_Book1_Khoi luong chinh Hang Tom 2" xfId="3694"/>
    <cellStyle name="T_Book1_Luy ke von ung nam 2011 -Thoa gui ngay 12-8-2012" xfId="3697"/>
    <cellStyle name="T_Book1_Luy ke von ung nam 2011 -Thoa gui ngay 12-8-2012 2" xfId="3698"/>
    <cellStyle name="T_Book1_Luy ke von ung nam 2011 -Thoa gui ngay 12-8-2012_!1 1 bao cao giao KH ve HTCMT vung TNB   12-12-2011" xfId="3699"/>
    <cellStyle name="T_Book1_Luy ke von ung nam 2011 -Thoa gui ngay 12-8-2012_!1 1 bao cao giao KH ve HTCMT vung TNB   12-12-2011 2" xfId="3700"/>
    <cellStyle name="T_Book1_Luy ke von ung nam 2011 -Thoa gui ngay 12-8-2012_KH TPCP vung TNB (03-1-2012)" xfId="3701"/>
    <cellStyle name="T_Book1_Luy ke von ung nam 2011 -Thoa gui ngay 12-8-2012_KH TPCP vung TNB (03-1-2012) 2" xfId="3702"/>
    <cellStyle name="T_Book1_Nhu cau von ung truoc 2011 Tha h Hoa + Nge An gui TW" xfId="3703"/>
    <cellStyle name="T_Book1_Nhu cau von ung truoc 2011 Tha h Hoa + Nge An gui TW 2" xfId="3704"/>
    <cellStyle name="T_Book1_Nhu cau von ung truoc 2011 Tha h Hoa + Nge An gui TW_!1 1 bao cao giao KH ve HTCMT vung TNB   12-12-2011" xfId="3705"/>
    <cellStyle name="T_Book1_Nhu cau von ung truoc 2011 Tha h Hoa + Nge An gui TW_!1 1 bao cao giao KH ve HTCMT vung TNB   12-12-2011 2" xfId="3706"/>
    <cellStyle name="T_Book1_Nhu cau von ung truoc 2011 Tha h Hoa + Nge An gui TW_Bieu4HTMT" xfId="3707"/>
    <cellStyle name="T_Book1_Nhu cau von ung truoc 2011 Tha h Hoa + Nge An gui TW_Bieu4HTMT 2" xfId="3708"/>
    <cellStyle name="T_Book1_Nhu cau von ung truoc 2011 Tha h Hoa + Nge An gui TW_Bieu4HTMT_!1 1 bao cao giao KH ve HTCMT vung TNB   12-12-2011" xfId="3709"/>
    <cellStyle name="T_Book1_Nhu cau von ung truoc 2011 Tha h Hoa + Nge An gui TW_Bieu4HTMT_!1 1 bao cao giao KH ve HTCMT vung TNB   12-12-2011 2" xfId="3710"/>
    <cellStyle name="T_Book1_Nhu cau von ung truoc 2011 Tha h Hoa + Nge An gui TW_Bieu4HTMT_KH TPCP vung TNB (03-1-2012)" xfId="3711"/>
    <cellStyle name="T_Book1_Nhu cau von ung truoc 2011 Tha h Hoa + Nge An gui TW_Bieu4HTMT_KH TPCP vung TNB (03-1-2012) 2" xfId="3712"/>
    <cellStyle name="T_Book1_Nhu cau von ung truoc 2011 Tha h Hoa + Nge An gui TW_KH TPCP vung TNB (03-1-2012)" xfId="3713"/>
    <cellStyle name="T_Book1_Nhu cau von ung truoc 2011 Tha h Hoa + Nge An gui TW_KH TPCP vung TNB (03-1-2012) 2" xfId="3714"/>
    <cellStyle name="T_Book1_phu luc tong ket tinh hinh TH giai doan 03-10 (ngay 30)" xfId="3715"/>
    <cellStyle name="T_Book1_phu luc tong ket tinh hinh TH giai doan 03-10 (ngay 30) 2" xfId="3716"/>
    <cellStyle name="T_Book1_phu luc tong ket tinh hinh TH giai doan 03-10 (ngay 30)_!1 1 bao cao giao KH ve HTCMT vung TNB   12-12-2011" xfId="3717"/>
    <cellStyle name="T_Book1_phu luc tong ket tinh hinh TH giai doan 03-10 (ngay 30)_!1 1 bao cao giao KH ve HTCMT vung TNB   12-12-2011 2" xfId="3718"/>
    <cellStyle name="T_Book1_phu luc tong ket tinh hinh TH giai doan 03-10 (ngay 30)_KH TPCP vung TNB (03-1-2012)" xfId="3719"/>
    <cellStyle name="T_Book1_phu luc tong ket tinh hinh TH giai doan 03-10 (ngay 30)_KH TPCP vung TNB (03-1-2012) 2" xfId="3720"/>
    <cellStyle name="T_Book1_TN - Ho tro khac 2011" xfId="3739"/>
    <cellStyle name="T_Book1_TN - Ho tro khac 2011 2" xfId="3740"/>
    <cellStyle name="T_Book1_TN - Ho tro khac 2011_!1 1 bao cao giao KH ve HTCMT vung TNB   12-12-2011" xfId="3741"/>
    <cellStyle name="T_Book1_TN - Ho tro khac 2011_!1 1 bao cao giao KH ve HTCMT vung TNB   12-12-2011 2" xfId="3742"/>
    <cellStyle name="T_Book1_TN - Ho tro khac 2011_Bieu4HTMT" xfId="3743"/>
    <cellStyle name="T_Book1_TN - Ho tro khac 2011_Bieu4HTMT 2" xfId="3744"/>
    <cellStyle name="T_Book1_TN - Ho tro khac 2011_KH TPCP vung TNB (03-1-2012)" xfId="3745"/>
    <cellStyle name="T_Book1_TN - Ho tro khac 2011_KH TPCP vung TNB (03-1-2012) 2" xfId="3746"/>
    <cellStyle name="T_Book1_TH ung tren 70%-Ra soat phap ly-8-6 (dung de chuyen vao vu TH)" xfId="3721"/>
    <cellStyle name="T_Book1_TH ung tren 70%-Ra soat phap ly-8-6 (dung de chuyen vao vu TH) 2" xfId="3722"/>
    <cellStyle name="T_Book1_TH ung tren 70%-Ra soat phap ly-8-6 (dung de chuyen vao vu TH)_!1 1 bao cao giao KH ve HTCMT vung TNB   12-12-2011" xfId="3723"/>
    <cellStyle name="T_Book1_TH ung tren 70%-Ra soat phap ly-8-6 (dung de chuyen vao vu TH)_!1 1 bao cao giao KH ve HTCMT vung TNB   12-12-2011 2" xfId="3724"/>
    <cellStyle name="T_Book1_TH ung tren 70%-Ra soat phap ly-8-6 (dung de chuyen vao vu TH)_Bieu4HTMT" xfId="3725"/>
    <cellStyle name="T_Book1_TH ung tren 70%-Ra soat phap ly-8-6 (dung de chuyen vao vu TH)_Bieu4HTMT 2" xfId="3726"/>
    <cellStyle name="T_Book1_TH ung tren 70%-Ra soat phap ly-8-6 (dung de chuyen vao vu TH)_KH TPCP vung TNB (03-1-2012)" xfId="3727"/>
    <cellStyle name="T_Book1_TH ung tren 70%-Ra soat phap ly-8-6 (dung de chuyen vao vu TH)_KH TPCP vung TNB (03-1-2012) 2" xfId="3728"/>
    <cellStyle name="T_Book1_TH y kien LD_KH 2010 Ca Nuoc 22-9-2011-Gui ca Vu" xfId="3729"/>
    <cellStyle name="T_Book1_TH y kien LD_KH 2010 Ca Nuoc 22-9-2011-Gui ca Vu 2" xfId="3730"/>
    <cellStyle name="T_Book1_TH y kien LD_KH 2010 Ca Nuoc 22-9-2011-Gui ca Vu_!1 1 bao cao giao KH ve HTCMT vung TNB   12-12-2011" xfId="3731"/>
    <cellStyle name="T_Book1_TH y kien LD_KH 2010 Ca Nuoc 22-9-2011-Gui ca Vu_!1 1 bao cao giao KH ve HTCMT vung TNB   12-12-2011 2" xfId="3732"/>
    <cellStyle name="T_Book1_TH y kien LD_KH 2010 Ca Nuoc 22-9-2011-Gui ca Vu_Bieu4HTMT" xfId="3733"/>
    <cellStyle name="T_Book1_TH y kien LD_KH 2010 Ca Nuoc 22-9-2011-Gui ca Vu_Bieu4HTMT 2" xfId="3734"/>
    <cellStyle name="T_Book1_TH y kien LD_KH 2010 Ca Nuoc 22-9-2011-Gui ca Vu_KH TPCP vung TNB (03-1-2012)" xfId="3735"/>
    <cellStyle name="T_Book1_TH y kien LD_KH 2010 Ca Nuoc 22-9-2011-Gui ca Vu_KH TPCP vung TNB (03-1-2012) 2" xfId="3736"/>
    <cellStyle name="T_Book1_Thiet bi" xfId="3737"/>
    <cellStyle name="T_Book1_Thiet bi 2" xfId="3738"/>
    <cellStyle name="T_Book1_ung truoc 2011 NSTW Thanh Hoa + Nge An gui Thu 12-5" xfId="3747"/>
    <cellStyle name="T_Book1_ung truoc 2011 NSTW Thanh Hoa + Nge An gui Thu 12-5 2" xfId="3748"/>
    <cellStyle name="T_Book1_ung truoc 2011 NSTW Thanh Hoa + Nge An gui Thu 12-5_!1 1 bao cao giao KH ve HTCMT vung TNB   12-12-2011" xfId="3749"/>
    <cellStyle name="T_Book1_ung truoc 2011 NSTW Thanh Hoa + Nge An gui Thu 12-5_!1 1 bao cao giao KH ve HTCMT vung TNB   12-12-2011 2" xfId="3750"/>
    <cellStyle name="T_Book1_ung truoc 2011 NSTW Thanh Hoa + Nge An gui Thu 12-5_Bieu4HTMT" xfId="3751"/>
    <cellStyle name="T_Book1_ung truoc 2011 NSTW Thanh Hoa + Nge An gui Thu 12-5_Bieu4HTMT 2" xfId="3752"/>
    <cellStyle name="T_Book1_ung truoc 2011 NSTW Thanh Hoa + Nge An gui Thu 12-5_Bieu4HTMT_!1 1 bao cao giao KH ve HTCMT vung TNB   12-12-2011" xfId="3753"/>
    <cellStyle name="T_Book1_ung truoc 2011 NSTW Thanh Hoa + Nge An gui Thu 12-5_Bieu4HTMT_!1 1 bao cao giao KH ve HTCMT vung TNB   12-12-2011 2" xfId="3754"/>
    <cellStyle name="T_Book1_ung truoc 2011 NSTW Thanh Hoa + Nge An gui Thu 12-5_Bieu4HTMT_KH TPCP vung TNB (03-1-2012)" xfId="3755"/>
    <cellStyle name="T_Book1_ung truoc 2011 NSTW Thanh Hoa + Nge An gui Thu 12-5_Bieu4HTMT_KH TPCP vung TNB (03-1-2012) 2" xfId="3756"/>
    <cellStyle name="T_Book1_ung truoc 2011 NSTW Thanh Hoa + Nge An gui Thu 12-5_KH TPCP vung TNB (03-1-2012)" xfId="3757"/>
    <cellStyle name="T_Book1_ung truoc 2011 NSTW Thanh Hoa + Nge An gui Thu 12-5_KH TPCP vung TNB (03-1-2012) 2" xfId="3758"/>
    <cellStyle name="T_Book1_ÿÿÿÿÿ" xfId="3759"/>
    <cellStyle name="T_Book1_ÿÿÿÿÿ 2" xfId="3760"/>
    <cellStyle name="T_Copy of Bao cao  XDCB 7 thang nam 2008_So KH&amp;DT SUA" xfId="3767"/>
    <cellStyle name="T_Copy of Bao cao  XDCB 7 thang nam 2008_So KH&amp;DT SUA 2" xfId="3768"/>
    <cellStyle name="T_Copy of Bao cao  XDCB 7 thang nam 2008_So KH&amp;DT SUA_!1 1 bao cao giao KH ve HTCMT vung TNB   12-12-2011" xfId="3769"/>
    <cellStyle name="T_Copy of Bao cao  XDCB 7 thang nam 2008_So KH&amp;DT SUA_!1 1 bao cao giao KH ve HTCMT vung TNB   12-12-2011 2" xfId="3770"/>
    <cellStyle name="T_Copy of Bao cao  XDCB 7 thang nam 2008_So KH&amp;DT SUA_KH TPCP vung TNB (03-1-2012)" xfId="3771"/>
    <cellStyle name="T_Copy of Bao cao  XDCB 7 thang nam 2008_So KH&amp;DT SUA_KH TPCP vung TNB (03-1-2012) 2" xfId="3772"/>
    <cellStyle name="T_CPK" xfId="3773"/>
    <cellStyle name="T_CPK 2" xfId="3774"/>
    <cellStyle name="T_CPK_!1 1 bao cao giao KH ve HTCMT vung TNB   12-12-2011" xfId="3775"/>
    <cellStyle name="T_CPK_!1 1 bao cao giao KH ve HTCMT vung TNB   12-12-2011 2" xfId="3776"/>
    <cellStyle name="T_CPK_Bieu4HTMT" xfId="3777"/>
    <cellStyle name="T_CPK_Bieu4HTMT 2" xfId="3778"/>
    <cellStyle name="T_CPK_Bieu4HTMT_!1 1 bao cao giao KH ve HTCMT vung TNB   12-12-2011" xfId="3779"/>
    <cellStyle name="T_CPK_Bieu4HTMT_!1 1 bao cao giao KH ve HTCMT vung TNB   12-12-2011 2" xfId="3780"/>
    <cellStyle name="T_CPK_Bieu4HTMT_KH TPCP vung TNB (03-1-2012)" xfId="3781"/>
    <cellStyle name="T_CPK_Bieu4HTMT_KH TPCP vung TNB (03-1-2012) 2" xfId="3782"/>
    <cellStyle name="T_CPK_KH TPCP vung TNB (03-1-2012)" xfId="3783"/>
    <cellStyle name="T_CPK_KH TPCP vung TNB (03-1-2012) 2" xfId="3784"/>
    <cellStyle name="T_CTMTQG 2008" xfId="3785"/>
    <cellStyle name="T_CTMTQG 2008 2" xfId="3786"/>
    <cellStyle name="T_CTMTQG 2008_!1 1 bao cao giao KH ve HTCMT vung TNB   12-12-2011" xfId="3787"/>
    <cellStyle name="T_CTMTQG 2008_!1 1 bao cao giao KH ve HTCMT vung TNB   12-12-2011 2" xfId="3788"/>
    <cellStyle name="T_CTMTQG 2008_Bieu mau danh muc du an thuoc CTMTQG nam 2008" xfId="3789"/>
    <cellStyle name="T_CTMTQG 2008_Bieu mau danh muc du an thuoc CTMTQG nam 2008 2" xfId="3790"/>
    <cellStyle name="T_CTMTQG 2008_Bieu mau danh muc du an thuoc CTMTQG nam 2008_!1 1 bao cao giao KH ve HTCMT vung TNB   12-12-2011" xfId="3791"/>
    <cellStyle name="T_CTMTQG 2008_Bieu mau danh muc du an thuoc CTMTQG nam 2008_!1 1 bao cao giao KH ve HTCMT vung TNB   12-12-2011 2" xfId="3792"/>
    <cellStyle name="T_CTMTQG 2008_Bieu mau danh muc du an thuoc CTMTQG nam 2008_KH TPCP vung TNB (03-1-2012)" xfId="3793"/>
    <cellStyle name="T_CTMTQG 2008_Bieu mau danh muc du an thuoc CTMTQG nam 2008_KH TPCP vung TNB (03-1-2012) 2" xfId="3794"/>
    <cellStyle name="T_CTMTQG 2008_Hi-Tong hop KQ phan bo KH nam 08- LD fong giao 15-11-08" xfId="3795"/>
    <cellStyle name="T_CTMTQG 2008_Hi-Tong hop KQ phan bo KH nam 08- LD fong giao 15-11-08 2" xfId="3796"/>
    <cellStyle name="T_CTMTQG 2008_Hi-Tong hop KQ phan bo KH nam 08- LD fong giao 15-11-08_!1 1 bao cao giao KH ve HTCMT vung TNB   12-12-2011" xfId="3797"/>
    <cellStyle name="T_CTMTQG 2008_Hi-Tong hop KQ phan bo KH nam 08- LD fong giao 15-11-08_!1 1 bao cao giao KH ve HTCMT vung TNB   12-12-2011 2" xfId="3798"/>
    <cellStyle name="T_CTMTQG 2008_Hi-Tong hop KQ phan bo KH nam 08- LD fong giao 15-11-08_KH TPCP vung TNB (03-1-2012)" xfId="3799"/>
    <cellStyle name="T_CTMTQG 2008_Hi-Tong hop KQ phan bo KH nam 08- LD fong giao 15-11-08_KH TPCP vung TNB (03-1-2012) 2" xfId="3800"/>
    <cellStyle name="T_CTMTQG 2008_Ket qua thuc hien nam 2008" xfId="3801"/>
    <cellStyle name="T_CTMTQG 2008_Ket qua thuc hien nam 2008 2" xfId="3802"/>
    <cellStyle name="T_CTMTQG 2008_Ket qua thuc hien nam 2008_!1 1 bao cao giao KH ve HTCMT vung TNB   12-12-2011" xfId="3803"/>
    <cellStyle name="T_CTMTQG 2008_Ket qua thuc hien nam 2008_!1 1 bao cao giao KH ve HTCMT vung TNB   12-12-2011 2" xfId="3804"/>
    <cellStyle name="T_CTMTQG 2008_Ket qua thuc hien nam 2008_KH TPCP vung TNB (03-1-2012)" xfId="3805"/>
    <cellStyle name="T_CTMTQG 2008_Ket qua thuc hien nam 2008_KH TPCP vung TNB (03-1-2012) 2" xfId="3806"/>
    <cellStyle name="T_CTMTQG 2008_KH TPCP vung TNB (03-1-2012)" xfId="3807"/>
    <cellStyle name="T_CTMTQG 2008_KH TPCP vung TNB (03-1-2012) 2" xfId="3808"/>
    <cellStyle name="T_CTMTQG 2008_KH XDCB_2008 lan 1" xfId="3809"/>
    <cellStyle name="T_CTMTQG 2008_KH XDCB_2008 lan 1 2" xfId="3810"/>
    <cellStyle name="T_CTMTQG 2008_KH XDCB_2008 lan 1 sua ngay 27-10" xfId="3811"/>
    <cellStyle name="T_CTMTQG 2008_KH XDCB_2008 lan 1 sua ngay 27-10 2" xfId="3812"/>
    <cellStyle name="T_CTMTQG 2008_KH XDCB_2008 lan 1 sua ngay 27-10_!1 1 bao cao giao KH ve HTCMT vung TNB   12-12-2011" xfId="3813"/>
    <cellStyle name="T_CTMTQG 2008_KH XDCB_2008 lan 1 sua ngay 27-10_!1 1 bao cao giao KH ve HTCMT vung TNB   12-12-2011 2" xfId="3814"/>
    <cellStyle name="T_CTMTQG 2008_KH XDCB_2008 lan 1 sua ngay 27-10_KH TPCP vung TNB (03-1-2012)" xfId="3815"/>
    <cellStyle name="T_CTMTQG 2008_KH XDCB_2008 lan 1 sua ngay 27-10_KH TPCP vung TNB (03-1-2012) 2" xfId="3816"/>
    <cellStyle name="T_CTMTQG 2008_KH XDCB_2008 lan 1_!1 1 bao cao giao KH ve HTCMT vung TNB   12-12-2011" xfId="3817"/>
    <cellStyle name="T_CTMTQG 2008_KH XDCB_2008 lan 1_!1 1 bao cao giao KH ve HTCMT vung TNB   12-12-2011 2" xfId="3818"/>
    <cellStyle name="T_CTMTQG 2008_KH XDCB_2008 lan 1_KH TPCP vung TNB (03-1-2012)" xfId="3819"/>
    <cellStyle name="T_CTMTQG 2008_KH XDCB_2008 lan 1_KH TPCP vung TNB (03-1-2012) 2" xfId="3820"/>
    <cellStyle name="T_CTMTQG 2008_KH XDCB_2008 lan 2 sua ngay 10-11" xfId="3821"/>
    <cellStyle name="T_CTMTQG 2008_KH XDCB_2008 lan 2 sua ngay 10-11 2" xfId="3822"/>
    <cellStyle name="T_CTMTQG 2008_KH XDCB_2008 lan 2 sua ngay 10-11_!1 1 bao cao giao KH ve HTCMT vung TNB   12-12-2011" xfId="3823"/>
    <cellStyle name="T_CTMTQG 2008_KH XDCB_2008 lan 2 sua ngay 10-11_!1 1 bao cao giao KH ve HTCMT vung TNB   12-12-2011 2" xfId="3824"/>
    <cellStyle name="T_CTMTQG 2008_KH XDCB_2008 lan 2 sua ngay 10-11_KH TPCP vung TNB (03-1-2012)" xfId="3825"/>
    <cellStyle name="T_CTMTQG 2008_KH XDCB_2008 lan 2 sua ngay 10-11_KH TPCP vung TNB (03-1-2012) 2" xfId="3826"/>
    <cellStyle name="T_Chuan bi dau tu nam 2008" xfId="3761"/>
    <cellStyle name="T_Chuan bi dau tu nam 2008 2" xfId="3762"/>
    <cellStyle name="T_Chuan bi dau tu nam 2008_!1 1 bao cao giao KH ve HTCMT vung TNB   12-12-2011" xfId="3763"/>
    <cellStyle name="T_Chuan bi dau tu nam 2008_!1 1 bao cao giao KH ve HTCMT vung TNB   12-12-2011 2" xfId="3764"/>
    <cellStyle name="T_Chuan bi dau tu nam 2008_KH TPCP vung TNB (03-1-2012)" xfId="3765"/>
    <cellStyle name="T_Chuan bi dau tu nam 2008_KH TPCP vung TNB (03-1-2012) 2" xfId="3766"/>
    <cellStyle name="T_danh muc chuan bi dau tu 2011 ngay 07-6-2011" xfId="3827"/>
    <cellStyle name="T_danh muc chuan bi dau tu 2011 ngay 07-6-2011 2" xfId="3828"/>
    <cellStyle name="T_danh muc chuan bi dau tu 2011 ngay 07-6-2011_!1 1 bao cao giao KH ve HTCMT vung TNB   12-12-2011" xfId="3829"/>
    <cellStyle name="T_danh muc chuan bi dau tu 2011 ngay 07-6-2011_!1 1 bao cao giao KH ve HTCMT vung TNB   12-12-2011 2" xfId="3830"/>
    <cellStyle name="T_danh muc chuan bi dau tu 2011 ngay 07-6-2011_KH TPCP vung TNB (03-1-2012)" xfId="3831"/>
    <cellStyle name="T_danh muc chuan bi dau tu 2011 ngay 07-6-2011_KH TPCP vung TNB (03-1-2012) 2" xfId="3832"/>
    <cellStyle name="T_Danh muc pbo nguon von XSKT, XDCB nam 2009 chuyen qua nam 2010" xfId="3833"/>
    <cellStyle name="T_Danh muc pbo nguon von XSKT, XDCB nam 2009 chuyen qua nam 2010 2" xfId="3834"/>
    <cellStyle name="T_Danh muc pbo nguon von XSKT, XDCB nam 2009 chuyen qua nam 2010_!1 1 bao cao giao KH ve HTCMT vung TNB   12-12-2011" xfId="3835"/>
    <cellStyle name="T_Danh muc pbo nguon von XSKT, XDCB nam 2009 chuyen qua nam 2010_!1 1 bao cao giao KH ve HTCMT vung TNB   12-12-2011 2" xfId="3836"/>
    <cellStyle name="T_Danh muc pbo nguon von XSKT, XDCB nam 2009 chuyen qua nam 2010_KH TPCP vung TNB (03-1-2012)" xfId="3837"/>
    <cellStyle name="T_Danh muc pbo nguon von XSKT, XDCB nam 2009 chuyen qua nam 2010_KH TPCP vung TNB (03-1-2012) 2" xfId="3838"/>
    <cellStyle name="T_dieu chinh KH 2011 ngay 26-5-2011111" xfId="3839"/>
    <cellStyle name="T_dieu chinh KH 2011 ngay 26-5-2011111 2" xfId="3840"/>
    <cellStyle name="T_dieu chinh KH 2011 ngay 26-5-2011111_!1 1 bao cao giao KH ve HTCMT vung TNB   12-12-2011" xfId="3841"/>
    <cellStyle name="T_dieu chinh KH 2011 ngay 26-5-2011111_!1 1 bao cao giao KH ve HTCMT vung TNB   12-12-2011 2" xfId="3842"/>
    <cellStyle name="T_dieu chinh KH 2011 ngay 26-5-2011111_KH TPCP vung TNB (03-1-2012)" xfId="3843"/>
    <cellStyle name="T_dieu chinh KH 2011 ngay 26-5-2011111_KH TPCP vung TNB (03-1-2012) 2" xfId="3844"/>
    <cellStyle name="T_DK 2014-2015 final" xfId="3845"/>
    <cellStyle name="T_DK 2014-2015 final_05-12  KH trung han 2016-2020 - Liem Thinh edited" xfId="3846"/>
    <cellStyle name="T_DK 2014-2015 final_Copy of 05-12  KH trung han 2016-2020 - Liem Thinh edited (1)" xfId="3847"/>
    <cellStyle name="T_DK 2014-2015 new" xfId="3848"/>
    <cellStyle name="T_DK 2014-2015 new_05-12  KH trung han 2016-2020 - Liem Thinh edited" xfId="3849"/>
    <cellStyle name="T_DK 2014-2015 new_Copy of 05-12  KH trung han 2016-2020 - Liem Thinh edited (1)" xfId="3850"/>
    <cellStyle name="T_DK KH CBDT 2014 11-11-2013" xfId="3851"/>
    <cellStyle name="T_DK KH CBDT 2014 11-11-2013(1)" xfId="3852"/>
    <cellStyle name="T_DK KH CBDT 2014 11-11-2013(1)_05-12  KH trung han 2016-2020 - Liem Thinh edited" xfId="3853"/>
    <cellStyle name="T_DK KH CBDT 2014 11-11-2013(1)_Copy of 05-12  KH trung han 2016-2020 - Liem Thinh edited (1)" xfId="3854"/>
    <cellStyle name="T_DK KH CBDT 2014 11-11-2013_05-12  KH trung han 2016-2020 - Liem Thinh edited" xfId="3855"/>
    <cellStyle name="T_DK KH CBDT 2014 11-11-2013_Copy of 05-12  KH trung han 2016-2020 - Liem Thinh edited (1)" xfId="3856"/>
    <cellStyle name="T_DS KCH PHAN BO VON NSDP NAM 2010" xfId="3857"/>
    <cellStyle name="T_DS KCH PHAN BO VON NSDP NAM 2010 2" xfId="3858"/>
    <cellStyle name="T_DS KCH PHAN BO VON NSDP NAM 2010_!1 1 bao cao giao KH ve HTCMT vung TNB   12-12-2011" xfId="3859"/>
    <cellStyle name="T_DS KCH PHAN BO VON NSDP NAM 2010_!1 1 bao cao giao KH ve HTCMT vung TNB   12-12-2011 2" xfId="3860"/>
    <cellStyle name="T_DS KCH PHAN BO VON NSDP NAM 2010_KH TPCP vung TNB (03-1-2012)" xfId="3861"/>
    <cellStyle name="T_DS KCH PHAN BO VON NSDP NAM 2010_KH TPCP vung TNB (03-1-2012) 2" xfId="3862"/>
    <cellStyle name="T_Du an khoi cong moi nam 2010" xfId="3863"/>
    <cellStyle name="T_Du an khoi cong moi nam 2010 2" xfId="3864"/>
    <cellStyle name="T_Du an khoi cong moi nam 2010_!1 1 bao cao giao KH ve HTCMT vung TNB   12-12-2011" xfId="3865"/>
    <cellStyle name="T_Du an khoi cong moi nam 2010_!1 1 bao cao giao KH ve HTCMT vung TNB   12-12-2011 2" xfId="3866"/>
    <cellStyle name="T_Du an khoi cong moi nam 2010_KH TPCP vung TNB (03-1-2012)" xfId="3867"/>
    <cellStyle name="T_Du an khoi cong moi nam 2010_KH TPCP vung TNB (03-1-2012) 2" xfId="3868"/>
    <cellStyle name="T_DU AN TKQH VA CHUAN BI DAU TU NAM 2007 sua ngay 9-11" xfId="3869"/>
    <cellStyle name="T_DU AN TKQH VA CHUAN BI DAU TU NAM 2007 sua ngay 9-11 2" xfId="3870"/>
    <cellStyle name="T_DU AN TKQH VA CHUAN BI DAU TU NAM 2007 sua ngay 9-11_!1 1 bao cao giao KH ve HTCMT vung TNB   12-12-2011" xfId="3871"/>
    <cellStyle name="T_DU AN TKQH VA CHUAN BI DAU TU NAM 2007 sua ngay 9-11_!1 1 bao cao giao KH ve HTCMT vung TNB   12-12-2011 2" xfId="3872"/>
    <cellStyle name="T_DU AN TKQH VA CHUAN BI DAU TU NAM 2007 sua ngay 9-11_Bieu mau danh muc du an thuoc CTMTQG nam 2008" xfId="3873"/>
    <cellStyle name="T_DU AN TKQH VA CHUAN BI DAU TU NAM 2007 sua ngay 9-11_Bieu mau danh muc du an thuoc CTMTQG nam 2008 2" xfId="3874"/>
    <cellStyle name="T_DU AN TKQH VA CHUAN BI DAU TU NAM 2007 sua ngay 9-11_Bieu mau danh muc du an thuoc CTMTQG nam 2008_!1 1 bao cao giao KH ve HTCMT vung TNB   12-12-2011" xfId="3875"/>
    <cellStyle name="T_DU AN TKQH VA CHUAN BI DAU TU NAM 2007 sua ngay 9-11_Bieu mau danh muc du an thuoc CTMTQG nam 2008_!1 1 bao cao giao KH ve HTCMT vung TNB   12-12-2011 2" xfId="3876"/>
    <cellStyle name="T_DU AN TKQH VA CHUAN BI DAU TU NAM 2007 sua ngay 9-11_Bieu mau danh muc du an thuoc CTMTQG nam 2008_KH TPCP vung TNB (03-1-2012)" xfId="3877"/>
    <cellStyle name="T_DU AN TKQH VA CHUAN BI DAU TU NAM 2007 sua ngay 9-11_Bieu mau danh muc du an thuoc CTMTQG nam 2008_KH TPCP vung TNB (03-1-2012) 2" xfId="3878"/>
    <cellStyle name="T_DU AN TKQH VA CHUAN BI DAU TU NAM 2007 sua ngay 9-11_Du an khoi cong moi nam 2010" xfId="3879"/>
    <cellStyle name="T_DU AN TKQH VA CHUAN BI DAU TU NAM 2007 sua ngay 9-11_Du an khoi cong moi nam 2010 2" xfId="3880"/>
    <cellStyle name="T_DU AN TKQH VA CHUAN BI DAU TU NAM 2007 sua ngay 9-11_Du an khoi cong moi nam 2010_!1 1 bao cao giao KH ve HTCMT vung TNB   12-12-2011" xfId="3881"/>
    <cellStyle name="T_DU AN TKQH VA CHUAN BI DAU TU NAM 2007 sua ngay 9-11_Du an khoi cong moi nam 2010_!1 1 bao cao giao KH ve HTCMT vung TNB   12-12-2011 2" xfId="3882"/>
    <cellStyle name="T_DU AN TKQH VA CHUAN BI DAU TU NAM 2007 sua ngay 9-11_Du an khoi cong moi nam 2010_KH TPCP vung TNB (03-1-2012)" xfId="3883"/>
    <cellStyle name="T_DU AN TKQH VA CHUAN BI DAU TU NAM 2007 sua ngay 9-11_Du an khoi cong moi nam 2010_KH TPCP vung TNB (03-1-2012) 2" xfId="3884"/>
    <cellStyle name="T_DU AN TKQH VA CHUAN BI DAU TU NAM 2007 sua ngay 9-11_Ket qua phan bo von nam 2008" xfId="3885"/>
    <cellStyle name="T_DU AN TKQH VA CHUAN BI DAU TU NAM 2007 sua ngay 9-11_Ket qua phan bo von nam 2008 2" xfId="3886"/>
    <cellStyle name="T_DU AN TKQH VA CHUAN BI DAU TU NAM 2007 sua ngay 9-11_Ket qua phan bo von nam 2008_!1 1 bao cao giao KH ve HTCMT vung TNB   12-12-2011" xfId="3887"/>
    <cellStyle name="T_DU AN TKQH VA CHUAN BI DAU TU NAM 2007 sua ngay 9-11_Ket qua phan bo von nam 2008_!1 1 bao cao giao KH ve HTCMT vung TNB   12-12-2011 2" xfId="3888"/>
    <cellStyle name="T_DU AN TKQH VA CHUAN BI DAU TU NAM 2007 sua ngay 9-11_Ket qua phan bo von nam 2008_KH TPCP vung TNB (03-1-2012)" xfId="3889"/>
    <cellStyle name="T_DU AN TKQH VA CHUAN BI DAU TU NAM 2007 sua ngay 9-11_Ket qua phan bo von nam 2008_KH TPCP vung TNB (03-1-2012) 2" xfId="3890"/>
    <cellStyle name="T_DU AN TKQH VA CHUAN BI DAU TU NAM 2007 sua ngay 9-11_KH TPCP vung TNB (03-1-2012)" xfId="3891"/>
    <cellStyle name="T_DU AN TKQH VA CHUAN BI DAU TU NAM 2007 sua ngay 9-11_KH TPCP vung TNB (03-1-2012) 2" xfId="3892"/>
    <cellStyle name="T_DU AN TKQH VA CHUAN BI DAU TU NAM 2007 sua ngay 9-11_KH XDCB_2008 lan 2 sua ngay 10-11" xfId="3893"/>
    <cellStyle name="T_DU AN TKQH VA CHUAN BI DAU TU NAM 2007 sua ngay 9-11_KH XDCB_2008 lan 2 sua ngay 10-11 2" xfId="3894"/>
    <cellStyle name="T_DU AN TKQH VA CHUAN BI DAU TU NAM 2007 sua ngay 9-11_KH XDCB_2008 lan 2 sua ngay 10-11_!1 1 bao cao giao KH ve HTCMT vung TNB   12-12-2011" xfId="3895"/>
    <cellStyle name="T_DU AN TKQH VA CHUAN BI DAU TU NAM 2007 sua ngay 9-11_KH XDCB_2008 lan 2 sua ngay 10-11_!1 1 bao cao giao KH ve HTCMT vung TNB   12-12-2011 2" xfId="3896"/>
    <cellStyle name="T_DU AN TKQH VA CHUAN BI DAU TU NAM 2007 sua ngay 9-11_KH XDCB_2008 lan 2 sua ngay 10-11_KH TPCP vung TNB (03-1-2012)" xfId="3897"/>
    <cellStyle name="T_DU AN TKQH VA CHUAN BI DAU TU NAM 2007 sua ngay 9-11_KH XDCB_2008 lan 2 sua ngay 10-11_KH TPCP vung TNB (03-1-2012) 2" xfId="3898"/>
    <cellStyle name="T_du toan dieu chinh  20-8-2006" xfId="3899"/>
    <cellStyle name="T_du toan dieu chinh  20-8-2006 2" xfId="3900"/>
    <cellStyle name="T_du toan dieu chinh  20-8-2006_!1 1 bao cao giao KH ve HTCMT vung TNB   12-12-2011" xfId="3901"/>
    <cellStyle name="T_du toan dieu chinh  20-8-2006_!1 1 bao cao giao KH ve HTCMT vung TNB   12-12-2011 2" xfId="3902"/>
    <cellStyle name="T_du toan dieu chinh  20-8-2006_Bieu4HTMT" xfId="3903"/>
    <cellStyle name="T_du toan dieu chinh  20-8-2006_Bieu4HTMT 2" xfId="3904"/>
    <cellStyle name="T_du toan dieu chinh  20-8-2006_Bieu4HTMT_!1 1 bao cao giao KH ve HTCMT vung TNB   12-12-2011" xfId="3905"/>
    <cellStyle name="T_du toan dieu chinh  20-8-2006_Bieu4HTMT_!1 1 bao cao giao KH ve HTCMT vung TNB   12-12-2011 2" xfId="3906"/>
    <cellStyle name="T_du toan dieu chinh  20-8-2006_Bieu4HTMT_KH TPCP vung TNB (03-1-2012)" xfId="3907"/>
    <cellStyle name="T_du toan dieu chinh  20-8-2006_Bieu4HTMT_KH TPCP vung TNB (03-1-2012) 2" xfId="3908"/>
    <cellStyle name="T_du toan dieu chinh  20-8-2006_KH TPCP vung TNB (03-1-2012)" xfId="3909"/>
    <cellStyle name="T_du toan dieu chinh  20-8-2006_KH TPCP vung TNB (03-1-2012) 2" xfId="3910"/>
    <cellStyle name="T_giao KH 2011 ngay 10-12-2010" xfId="3911"/>
    <cellStyle name="T_giao KH 2011 ngay 10-12-2010 2" xfId="3912"/>
    <cellStyle name="T_giao KH 2011 ngay 10-12-2010_!1 1 bao cao giao KH ve HTCMT vung TNB   12-12-2011" xfId="3913"/>
    <cellStyle name="T_giao KH 2011 ngay 10-12-2010_!1 1 bao cao giao KH ve HTCMT vung TNB   12-12-2011 2" xfId="3914"/>
    <cellStyle name="T_giao KH 2011 ngay 10-12-2010_KH TPCP vung TNB (03-1-2012)" xfId="3915"/>
    <cellStyle name="T_giao KH 2011 ngay 10-12-2010_KH TPCP vung TNB (03-1-2012) 2" xfId="3916"/>
    <cellStyle name="T_Ht-PTq1-03" xfId="3917"/>
    <cellStyle name="T_Ht-PTq1-03 2" xfId="3918"/>
    <cellStyle name="T_Ht-PTq1-03_!1 1 bao cao giao KH ve HTCMT vung TNB   12-12-2011" xfId="3919"/>
    <cellStyle name="T_Ht-PTq1-03_!1 1 bao cao giao KH ve HTCMT vung TNB   12-12-2011 2" xfId="3920"/>
    <cellStyle name="T_Ht-PTq1-03_kien giang 2" xfId="3921"/>
    <cellStyle name="T_Ht-PTq1-03_kien giang 2 2" xfId="3922"/>
    <cellStyle name="T_Ke hoach KTXH  nam 2009_PKT thang 11 nam 2008" xfId="3923"/>
    <cellStyle name="T_Ke hoach KTXH  nam 2009_PKT thang 11 nam 2008 2" xfId="3924"/>
    <cellStyle name="T_Ke hoach KTXH  nam 2009_PKT thang 11 nam 2008_!1 1 bao cao giao KH ve HTCMT vung TNB   12-12-2011" xfId="3925"/>
    <cellStyle name="T_Ke hoach KTXH  nam 2009_PKT thang 11 nam 2008_!1 1 bao cao giao KH ve HTCMT vung TNB   12-12-2011 2" xfId="3926"/>
    <cellStyle name="T_Ke hoach KTXH  nam 2009_PKT thang 11 nam 2008_KH TPCP vung TNB (03-1-2012)" xfId="3927"/>
    <cellStyle name="T_Ke hoach KTXH  nam 2009_PKT thang 11 nam 2008_KH TPCP vung TNB (03-1-2012) 2" xfId="3928"/>
    <cellStyle name="T_Ket qua dau thau" xfId="3929"/>
    <cellStyle name="T_Ket qua dau thau 2" xfId="3930"/>
    <cellStyle name="T_Ket qua dau thau_!1 1 bao cao giao KH ve HTCMT vung TNB   12-12-2011" xfId="3931"/>
    <cellStyle name="T_Ket qua dau thau_!1 1 bao cao giao KH ve HTCMT vung TNB   12-12-2011 2" xfId="3932"/>
    <cellStyle name="T_Ket qua dau thau_KH TPCP vung TNB (03-1-2012)" xfId="3933"/>
    <cellStyle name="T_Ket qua dau thau_KH TPCP vung TNB (03-1-2012) 2" xfId="3934"/>
    <cellStyle name="T_Ket qua phan bo von nam 2008" xfId="3935"/>
    <cellStyle name="T_Ket qua phan bo von nam 2008 2" xfId="3936"/>
    <cellStyle name="T_Ket qua phan bo von nam 2008_!1 1 bao cao giao KH ve HTCMT vung TNB   12-12-2011" xfId="3937"/>
    <cellStyle name="T_Ket qua phan bo von nam 2008_!1 1 bao cao giao KH ve HTCMT vung TNB   12-12-2011 2" xfId="3938"/>
    <cellStyle name="T_Ket qua phan bo von nam 2008_KH TPCP vung TNB (03-1-2012)" xfId="3939"/>
    <cellStyle name="T_Ket qua phan bo von nam 2008_KH TPCP vung TNB (03-1-2012) 2" xfId="3940"/>
    <cellStyle name="T_kien giang 2" xfId="3950"/>
    <cellStyle name="T_kien giang 2 2" xfId="3951"/>
    <cellStyle name="T_KH 2011-2015" xfId="3941"/>
    <cellStyle name="T_KH TPCP vung TNB (03-1-2012)" xfId="3942"/>
    <cellStyle name="T_KH TPCP vung TNB (03-1-2012) 2" xfId="3943"/>
    <cellStyle name="T_KH XDCB_2008 lan 2 sua ngay 10-11" xfId="3944"/>
    <cellStyle name="T_KH XDCB_2008 lan 2 sua ngay 10-11 2" xfId="3945"/>
    <cellStyle name="T_KH XDCB_2008 lan 2 sua ngay 10-11_!1 1 bao cao giao KH ve HTCMT vung TNB   12-12-2011" xfId="3946"/>
    <cellStyle name="T_KH XDCB_2008 lan 2 sua ngay 10-11_!1 1 bao cao giao KH ve HTCMT vung TNB   12-12-2011 2" xfId="3947"/>
    <cellStyle name="T_KH XDCB_2008 lan 2 sua ngay 10-11_KH TPCP vung TNB (03-1-2012)" xfId="3948"/>
    <cellStyle name="T_KH XDCB_2008 lan 2 sua ngay 10-11_KH TPCP vung TNB (03-1-2012) 2" xfId="3949"/>
    <cellStyle name="T_Me_Tri_6_07" xfId="3952"/>
    <cellStyle name="T_Me_Tri_6_07 2" xfId="3953"/>
    <cellStyle name="T_Me_Tri_6_07_!1 1 bao cao giao KH ve HTCMT vung TNB   12-12-2011" xfId="3954"/>
    <cellStyle name="T_Me_Tri_6_07_!1 1 bao cao giao KH ve HTCMT vung TNB   12-12-2011 2" xfId="3955"/>
    <cellStyle name="T_Me_Tri_6_07_Bieu4HTMT" xfId="3956"/>
    <cellStyle name="T_Me_Tri_6_07_Bieu4HTMT 2" xfId="3957"/>
    <cellStyle name="T_Me_Tri_6_07_Bieu4HTMT_!1 1 bao cao giao KH ve HTCMT vung TNB   12-12-2011" xfId="3958"/>
    <cellStyle name="T_Me_Tri_6_07_Bieu4HTMT_!1 1 bao cao giao KH ve HTCMT vung TNB   12-12-2011 2" xfId="3959"/>
    <cellStyle name="T_Me_Tri_6_07_Bieu4HTMT_KH TPCP vung TNB (03-1-2012)" xfId="3960"/>
    <cellStyle name="T_Me_Tri_6_07_Bieu4HTMT_KH TPCP vung TNB (03-1-2012) 2" xfId="3961"/>
    <cellStyle name="T_Me_Tri_6_07_KH TPCP vung TNB (03-1-2012)" xfId="3962"/>
    <cellStyle name="T_Me_Tri_6_07_KH TPCP vung TNB (03-1-2012) 2" xfId="3963"/>
    <cellStyle name="T_N2 thay dat (N1-1)" xfId="3964"/>
    <cellStyle name="T_N2 thay dat (N1-1) 2" xfId="3965"/>
    <cellStyle name="T_N2 thay dat (N1-1)_!1 1 bao cao giao KH ve HTCMT vung TNB   12-12-2011" xfId="3966"/>
    <cellStyle name="T_N2 thay dat (N1-1)_!1 1 bao cao giao KH ve HTCMT vung TNB   12-12-2011 2" xfId="3967"/>
    <cellStyle name="T_N2 thay dat (N1-1)_Bieu4HTMT" xfId="3968"/>
    <cellStyle name="T_N2 thay dat (N1-1)_Bieu4HTMT 2" xfId="3969"/>
    <cellStyle name="T_N2 thay dat (N1-1)_Bieu4HTMT_!1 1 bao cao giao KH ve HTCMT vung TNB   12-12-2011" xfId="3970"/>
    <cellStyle name="T_N2 thay dat (N1-1)_Bieu4HTMT_!1 1 bao cao giao KH ve HTCMT vung TNB   12-12-2011 2" xfId="3971"/>
    <cellStyle name="T_N2 thay dat (N1-1)_Bieu4HTMT_KH TPCP vung TNB (03-1-2012)" xfId="3972"/>
    <cellStyle name="T_N2 thay dat (N1-1)_Bieu4HTMT_KH TPCP vung TNB (03-1-2012) 2" xfId="3973"/>
    <cellStyle name="T_N2 thay dat (N1-1)_KH TPCP vung TNB (03-1-2012)" xfId="3974"/>
    <cellStyle name="T_N2 thay dat (N1-1)_KH TPCP vung TNB (03-1-2012) 2" xfId="3975"/>
    <cellStyle name="T_Phuong an can doi nam 2008" xfId="3976"/>
    <cellStyle name="T_Phuong an can doi nam 2008 2" xfId="3977"/>
    <cellStyle name="T_Phuong an can doi nam 2008_!1 1 bao cao giao KH ve HTCMT vung TNB   12-12-2011" xfId="3978"/>
    <cellStyle name="T_Phuong an can doi nam 2008_!1 1 bao cao giao KH ve HTCMT vung TNB   12-12-2011 2" xfId="3979"/>
    <cellStyle name="T_Phuong an can doi nam 2008_KH TPCP vung TNB (03-1-2012)" xfId="3980"/>
    <cellStyle name="T_Phuong an can doi nam 2008_KH TPCP vung TNB (03-1-2012) 2" xfId="3981"/>
    <cellStyle name="T_Seagame(BTL)" xfId="3982"/>
    <cellStyle name="T_Seagame(BTL) 2" xfId="3983"/>
    <cellStyle name="T_So GTVT" xfId="3984"/>
    <cellStyle name="T_So GTVT 2" xfId="3985"/>
    <cellStyle name="T_So GTVT_!1 1 bao cao giao KH ve HTCMT vung TNB   12-12-2011" xfId="3986"/>
    <cellStyle name="T_So GTVT_!1 1 bao cao giao KH ve HTCMT vung TNB   12-12-2011 2" xfId="3987"/>
    <cellStyle name="T_So GTVT_KH TPCP vung TNB (03-1-2012)" xfId="3988"/>
    <cellStyle name="T_So GTVT_KH TPCP vung TNB (03-1-2012) 2" xfId="3989"/>
    <cellStyle name="T_tai co cau dau tu (tong hop)1" xfId="3990"/>
    <cellStyle name="T_TDT + duong(8-5-07)" xfId="3991"/>
    <cellStyle name="T_TDT + duong(8-5-07) 2" xfId="3992"/>
    <cellStyle name="T_TDT + duong(8-5-07)_!1 1 bao cao giao KH ve HTCMT vung TNB   12-12-2011" xfId="3993"/>
    <cellStyle name="T_TDT + duong(8-5-07)_!1 1 bao cao giao KH ve HTCMT vung TNB   12-12-2011 2" xfId="3994"/>
    <cellStyle name="T_TDT + duong(8-5-07)_Bieu4HTMT" xfId="3995"/>
    <cellStyle name="T_TDT + duong(8-5-07)_Bieu4HTMT 2" xfId="3996"/>
    <cellStyle name="T_TDT + duong(8-5-07)_Bieu4HTMT_!1 1 bao cao giao KH ve HTCMT vung TNB   12-12-2011" xfId="3997"/>
    <cellStyle name="T_TDT + duong(8-5-07)_Bieu4HTMT_!1 1 bao cao giao KH ve HTCMT vung TNB   12-12-2011 2" xfId="3998"/>
    <cellStyle name="T_TDT + duong(8-5-07)_Bieu4HTMT_KH TPCP vung TNB (03-1-2012)" xfId="3999"/>
    <cellStyle name="T_TDT + duong(8-5-07)_Bieu4HTMT_KH TPCP vung TNB (03-1-2012) 2" xfId="4000"/>
    <cellStyle name="T_TDT + duong(8-5-07)_KH TPCP vung TNB (03-1-2012)" xfId="4001"/>
    <cellStyle name="T_TDT + duong(8-5-07)_KH TPCP vung TNB (03-1-2012) 2" xfId="4002"/>
    <cellStyle name="T_TK_HT" xfId="4027"/>
    <cellStyle name="T_TK_HT 2" xfId="4028"/>
    <cellStyle name="T_tham_tra_du_toan" xfId="4003"/>
    <cellStyle name="T_tham_tra_du_toan 2" xfId="4004"/>
    <cellStyle name="T_tham_tra_du_toan_!1 1 bao cao giao KH ve HTCMT vung TNB   12-12-2011" xfId="4005"/>
    <cellStyle name="T_tham_tra_du_toan_!1 1 bao cao giao KH ve HTCMT vung TNB   12-12-2011 2" xfId="4006"/>
    <cellStyle name="T_tham_tra_du_toan_Bieu4HTMT" xfId="4007"/>
    <cellStyle name="T_tham_tra_du_toan_Bieu4HTMT 2" xfId="4008"/>
    <cellStyle name="T_tham_tra_du_toan_Bieu4HTMT_!1 1 bao cao giao KH ve HTCMT vung TNB   12-12-2011" xfId="4009"/>
    <cellStyle name="T_tham_tra_du_toan_Bieu4HTMT_!1 1 bao cao giao KH ve HTCMT vung TNB   12-12-2011 2" xfId="4010"/>
    <cellStyle name="T_tham_tra_du_toan_Bieu4HTMT_KH TPCP vung TNB (03-1-2012)" xfId="4011"/>
    <cellStyle name="T_tham_tra_du_toan_Bieu4HTMT_KH TPCP vung TNB (03-1-2012) 2" xfId="4012"/>
    <cellStyle name="T_tham_tra_du_toan_KH TPCP vung TNB (03-1-2012)" xfId="4013"/>
    <cellStyle name="T_tham_tra_du_toan_KH TPCP vung TNB (03-1-2012) 2" xfId="4014"/>
    <cellStyle name="T_Thiet bi" xfId="4015"/>
    <cellStyle name="T_Thiet bi 2" xfId="4016"/>
    <cellStyle name="T_Thiet bi_!1 1 bao cao giao KH ve HTCMT vung TNB   12-12-2011" xfId="4017"/>
    <cellStyle name="T_Thiet bi_!1 1 bao cao giao KH ve HTCMT vung TNB   12-12-2011 2" xfId="4018"/>
    <cellStyle name="T_Thiet bi_Bieu4HTMT" xfId="4019"/>
    <cellStyle name="T_Thiet bi_Bieu4HTMT 2" xfId="4020"/>
    <cellStyle name="T_Thiet bi_Bieu4HTMT_!1 1 bao cao giao KH ve HTCMT vung TNB   12-12-2011" xfId="4021"/>
    <cellStyle name="T_Thiet bi_Bieu4HTMT_!1 1 bao cao giao KH ve HTCMT vung TNB   12-12-2011 2" xfId="4022"/>
    <cellStyle name="T_Thiet bi_Bieu4HTMT_KH TPCP vung TNB (03-1-2012)" xfId="4023"/>
    <cellStyle name="T_Thiet bi_Bieu4HTMT_KH TPCP vung TNB (03-1-2012) 2" xfId="4024"/>
    <cellStyle name="T_Thiet bi_KH TPCP vung TNB (03-1-2012)" xfId="4025"/>
    <cellStyle name="T_Thiet bi_KH TPCP vung TNB (03-1-2012) 2" xfId="4026"/>
    <cellStyle name="T_Van Ban 2007" xfId="4029"/>
    <cellStyle name="T_Van Ban 2007_15_10_2013 BC nhu cau von doi ung ODA (2014-2016) ngay 15102013 Sua" xfId="4030"/>
    <cellStyle name="T_Van Ban 2007_bao cao phan bo KHDT 2011(final)" xfId="4031"/>
    <cellStyle name="T_Van Ban 2007_bao cao phan bo KHDT 2011(final)_BC nhu cau von doi ung ODA nganh NN (BKH)" xfId="4032"/>
    <cellStyle name="T_Van Ban 2007_bao cao phan bo KHDT 2011(final)_BC Tai co cau (bieu TH)" xfId="4033"/>
    <cellStyle name="T_Van Ban 2007_bao cao phan bo KHDT 2011(final)_DK 2014-2015 final" xfId="4034"/>
    <cellStyle name="T_Van Ban 2007_bao cao phan bo KHDT 2011(final)_DK 2014-2015 new" xfId="4035"/>
    <cellStyle name="T_Van Ban 2007_bao cao phan bo KHDT 2011(final)_DK KH CBDT 2014 11-11-2013" xfId="4036"/>
    <cellStyle name="T_Van Ban 2007_bao cao phan bo KHDT 2011(final)_DK KH CBDT 2014 11-11-2013(1)" xfId="4037"/>
    <cellStyle name="T_Van Ban 2007_bao cao phan bo KHDT 2011(final)_KH 2011-2015" xfId="4038"/>
    <cellStyle name="T_Van Ban 2007_bao cao phan bo KHDT 2011(final)_tai co cau dau tu (tong hop)1" xfId="4039"/>
    <cellStyle name="T_Van Ban 2007_BC nhu cau von doi ung ODA nganh NN (BKH)" xfId="4040"/>
    <cellStyle name="T_Van Ban 2007_BC nhu cau von doi ung ODA nganh NN (BKH)_05-12  KH trung han 2016-2020 - Liem Thinh edited" xfId="4041"/>
    <cellStyle name="T_Van Ban 2007_BC nhu cau von doi ung ODA nganh NN (BKH)_Copy of 05-12  KH trung han 2016-2020 - Liem Thinh edited (1)" xfId="4042"/>
    <cellStyle name="T_Van Ban 2007_BC Tai co cau (bieu TH)" xfId="4043"/>
    <cellStyle name="T_Van Ban 2007_BC Tai co cau (bieu TH)_05-12  KH trung han 2016-2020 - Liem Thinh edited" xfId="4044"/>
    <cellStyle name="T_Van Ban 2007_BC Tai co cau (bieu TH)_Copy of 05-12  KH trung han 2016-2020 - Liem Thinh edited (1)" xfId="4045"/>
    <cellStyle name="T_Van Ban 2007_DK 2014-2015 final" xfId="4046"/>
    <cellStyle name="T_Van Ban 2007_DK 2014-2015 final_05-12  KH trung han 2016-2020 - Liem Thinh edited" xfId="4047"/>
    <cellStyle name="T_Van Ban 2007_DK 2014-2015 final_Copy of 05-12  KH trung han 2016-2020 - Liem Thinh edited (1)" xfId="4048"/>
    <cellStyle name="T_Van Ban 2007_DK 2014-2015 new" xfId="4049"/>
    <cellStyle name="T_Van Ban 2007_DK 2014-2015 new_05-12  KH trung han 2016-2020 - Liem Thinh edited" xfId="4050"/>
    <cellStyle name="T_Van Ban 2007_DK 2014-2015 new_Copy of 05-12  KH trung han 2016-2020 - Liem Thinh edited (1)" xfId="4051"/>
    <cellStyle name="T_Van Ban 2007_DK KH CBDT 2014 11-11-2013" xfId="4052"/>
    <cellStyle name="T_Van Ban 2007_DK KH CBDT 2014 11-11-2013(1)" xfId="4053"/>
    <cellStyle name="T_Van Ban 2007_DK KH CBDT 2014 11-11-2013(1)_05-12  KH trung han 2016-2020 - Liem Thinh edited" xfId="4054"/>
    <cellStyle name="T_Van Ban 2007_DK KH CBDT 2014 11-11-2013(1)_Copy of 05-12  KH trung han 2016-2020 - Liem Thinh edited (1)" xfId="4055"/>
    <cellStyle name="T_Van Ban 2007_DK KH CBDT 2014 11-11-2013_05-12  KH trung han 2016-2020 - Liem Thinh edited" xfId="4056"/>
    <cellStyle name="T_Van Ban 2007_DK KH CBDT 2014 11-11-2013_Copy of 05-12  KH trung han 2016-2020 - Liem Thinh edited (1)" xfId="4057"/>
    <cellStyle name="T_Van Ban 2008" xfId="4058"/>
    <cellStyle name="T_Van Ban 2008_15_10_2013 BC nhu cau von doi ung ODA (2014-2016) ngay 15102013 Sua" xfId="4059"/>
    <cellStyle name="T_Van Ban 2008_bao cao phan bo KHDT 2011(final)" xfId="4060"/>
    <cellStyle name="T_Van Ban 2008_bao cao phan bo KHDT 2011(final)_BC nhu cau von doi ung ODA nganh NN (BKH)" xfId="4061"/>
    <cellStyle name="T_Van Ban 2008_bao cao phan bo KHDT 2011(final)_BC Tai co cau (bieu TH)" xfId="4062"/>
    <cellStyle name="T_Van Ban 2008_bao cao phan bo KHDT 2011(final)_DK 2014-2015 final" xfId="4063"/>
    <cellStyle name="T_Van Ban 2008_bao cao phan bo KHDT 2011(final)_DK 2014-2015 new" xfId="4064"/>
    <cellStyle name="T_Van Ban 2008_bao cao phan bo KHDT 2011(final)_DK KH CBDT 2014 11-11-2013" xfId="4065"/>
    <cellStyle name="T_Van Ban 2008_bao cao phan bo KHDT 2011(final)_DK KH CBDT 2014 11-11-2013(1)" xfId="4066"/>
    <cellStyle name="T_Van Ban 2008_bao cao phan bo KHDT 2011(final)_KH 2011-2015" xfId="4067"/>
    <cellStyle name="T_Van Ban 2008_bao cao phan bo KHDT 2011(final)_tai co cau dau tu (tong hop)1" xfId="4068"/>
    <cellStyle name="T_Van Ban 2008_BC nhu cau von doi ung ODA nganh NN (BKH)" xfId="4069"/>
    <cellStyle name="T_Van Ban 2008_BC nhu cau von doi ung ODA nganh NN (BKH)_05-12  KH trung han 2016-2020 - Liem Thinh edited" xfId="4070"/>
    <cellStyle name="T_Van Ban 2008_BC nhu cau von doi ung ODA nganh NN (BKH)_Copy of 05-12  KH trung han 2016-2020 - Liem Thinh edited (1)" xfId="4071"/>
    <cellStyle name="T_Van Ban 2008_BC Tai co cau (bieu TH)" xfId="4072"/>
    <cellStyle name="T_Van Ban 2008_BC Tai co cau (bieu TH)_05-12  KH trung han 2016-2020 - Liem Thinh edited" xfId="4073"/>
    <cellStyle name="T_Van Ban 2008_BC Tai co cau (bieu TH)_Copy of 05-12  KH trung han 2016-2020 - Liem Thinh edited (1)" xfId="4074"/>
    <cellStyle name="T_Van Ban 2008_DK 2014-2015 final" xfId="4075"/>
    <cellStyle name="T_Van Ban 2008_DK 2014-2015 final_05-12  KH trung han 2016-2020 - Liem Thinh edited" xfId="4076"/>
    <cellStyle name="T_Van Ban 2008_DK 2014-2015 final_Copy of 05-12  KH trung han 2016-2020 - Liem Thinh edited (1)" xfId="4077"/>
    <cellStyle name="T_Van Ban 2008_DK 2014-2015 new" xfId="4078"/>
    <cellStyle name="T_Van Ban 2008_DK 2014-2015 new_05-12  KH trung han 2016-2020 - Liem Thinh edited" xfId="4079"/>
    <cellStyle name="T_Van Ban 2008_DK 2014-2015 new_Copy of 05-12  KH trung han 2016-2020 - Liem Thinh edited (1)" xfId="4080"/>
    <cellStyle name="T_Van Ban 2008_DK KH CBDT 2014 11-11-2013" xfId="4081"/>
    <cellStyle name="T_Van Ban 2008_DK KH CBDT 2014 11-11-2013(1)" xfId="4082"/>
    <cellStyle name="T_Van Ban 2008_DK KH CBDT 2014 11-11-2013(1)_05-12  KH trung han 2016-2020 - Liem Thinh edited" xfId="4083"/>
    <cellStyle name="T_Van Ban 2008_DK KH CBDT 2014 11-11-2013(1)_Copy of 05-12  KH trung han 2016-2020 - Liem Thinh edited (1)" xfId="4084"/>
    <cellStyle name="T_Van Ban 2008_DK KH CBDT 2014 11-11-2013_05-12  KH trung han 2016-2020 - Liem Thinh edited" xfId="4085"/>
    <cellStyle name="T_Van Ban 2008_DK KH CBDT 2014 11-11-2013_Copy of 05-12  KH trung han 2016-2020 - Liem Thinh edited (1)" xfId="4086"/>
    <cellStyle name="T_XDCB thang 12.2010" xfId="4087"/>
    <cellStyle name="T_XDCB thang 12.2010 2" xfId="4088"/>
    <cellStyle name="T_XDCB thang 12.2010_!1 1 bao cao giao KH ve HTCMT vung TNB   12-12-2011" xfId="4089"/>
    <cellStyle name="T_XDCB thang 12.2010_!1 1 bao cao giao KH ve HTCMT vung TNB   12-12-2011 2" xfId="4090"/>
    <cellStyle name="T_XDCB thang 12.2010_KH TPCP vung TNB (03-1-2012)" xfId="4091"/>
    <cellStyle name="T_XDCB thang 12.2010_KH TPCP vung TNB (03-1-2012) 2" xfId="4092"/>
    <cellStyle name="T_ÿÿÿÿÿ" xfId="4093"/>
    <cellStyle name="T_ÿÿÿÿÿ 2" xfId="4094"/>
    <cellStyle name="T_ÿÿÿÿÿ_!1 1 bao cao giao KH ve HTCMT vung TNB   12-12-2011" xfId="4095"/>
    <cellStyle name="T_ÿÿÿÿÿ_!1 1 bao cao giao KH ve HTCMT vung TNB   12-12-2011 2" xfId="4096"/>
    <cellStyle name="T_ÿÿÿÿÿ_Bieu mau cong trinh khoi cong moi 3-4" xfId="4097"/>
    <cellStyle name="T_ÿÿÿÿÿ_Bieu mau cong trinh khoi cong moi 3-4 2" xfId="4098"/>
    <cellStyle name="T_ÿÿÿÿÿ_Bieu mau cong trinh khoi cong moi 3-4_!1 1 bao cao giao KH ve HTCMT vung TNB   12-12-2011" xfId="4099"/>
    <cellStyle name="T_ÿÿÿÿÿ_Bieu mau cong trinh khoi cong moi 3-4_!1 1 bao cao giao KH ve HTCMT vung TNB   12-12-2011 2" xfId="4100"/>
    <cellStyle name="T_ÿÿÿÿÿ_Bieu mau cong trinh khoi cong moi 3-4_KH TPCP vung TNB (03-1-2012)" xfId="4101"/>
    <cellStyle name="T_ÿÿÿÿÿ_Bieu mau cong trinh khoi cong moi 3-4_KH TPCP vung TNB (03-1-2012) 2" xfId="4102"/>
    <cellStyle name="T_ÿÿÿÿÿ_Bieu3ODA" xfId="4103"/>
    <cellStyle name="T_ÿÿÿÿÿ_Bieu3ODA 2" xfId="4104"/>
    <cellStyle name="T_ÿÿÿÿÿ_Bieu3ODA_!1 1 bao cao giao KH ve HTCMT vung TNB   12-12-2011" xfId="4105"/>
    <cellStyle name="T_ÿÿÿÿÿ_Bieu3ODA_!1 1 bao cao giao KH ve HTCMT vung TNB   12-12-2011 2" xfId="4106"/>
    <cellStyle name="T_ÿÿÿÿÿ_Bieu3ODA_KH TPCP vung TNB (03-1-2012)" xfId="4107"/>
    <cellStyle name="T_ÿÿÿÿÿ_Bieu3ODA_KH TPCP vung TNB (03-1-2012) 2" xfId="4108"/>
    <cellStyle name="T_ÿÿÿÿÿ_Bieu4HTMT" xfId="4109"/>
    <cellStyle name="T_ÿÿÿÿÿ_Bieu4HTMT 2" xfId="4110"/>
    <cellStyle name="T_ÿÿÿÿÿ_Bieu4HTMT_!1 1 bao cao giao KH ve HTCMT vung TNB   12-12-2011" xfId="4111"/>
    <cellStyle name="T_ÿÿÿÿÿ_Bieu4HTMT_!1 1 bao cao giao KH ve HTCMT vung TNB   12-12-2011 2" xfId="4112"/>
    <cellStyle name="T_ÿÿÿÿÿ_Bieu4HTMT_KH TPCP vung TNB (03-1-2012)" xfId="4113"/>
    <cellStyle name="T_ÿÿÿÿÿ_Bieu4HTMT_KH TPCP vung TNB (03-1-2012) 2" xfId="4114"/>
    <cellStyle name="T_ÿÿÿÿÿ_kien giang 2" xfId="4117"/>
    <cellStyle name="T_ÿÿÿÿÿ_kien giang 2 2" xfId="4118"/>
    <cellStyle name="T_ÿÿÿÿÿ_KH TPCP vung TNB (03-1-2012)" xfId="4115"/>
    <cellStyle name="T_ÿÿÿÿÿ_KH TPCP vung TNB (03-1-2012) 2" xfId="4116"/>
    <cellStyle name="Text Indent A" xfId="4119"/>
    <cellStyle name="Text Indent B" xfId="4120"/>
    <cellStyle name="Text Indent B 10" xfId="4121"/>
    <cellStyle name="Text Indent B 11" xfId="4122"/>
    <cellStyle name="Text Indent B 12" xfId="4123"/>
    <cellStyle name="Text Indent B 13" xfId="4124"/>
    <cellStyle name="Text Indent B 14" xfId="4125"/>
    <cellStyle name="Text Indent B 15" xfId="4126"/>
    <cellStyle name="Text Indent B 16" xfId="4127"/>
    <cellStyle name="Text Indent B 2" xfId="4128"/>
    <cellStyle name="Text Indent B 3" xfId="4129"/>
    <cellStyle name="Text Indent B 4" xfId="4130"/>
    <cellStyle name="Text Indent B 5" xfId="4131"/>
    <cellStyle name="Text Indent B 6" xfId="4132"/>
    <cellStyle name="Text Indent B 7" xfId="4133"/>
    <cellStyle name="Text Indent B 8" xfId="4134"/>
    <cellStyle name="Text Indent B 9" xfId="4135"/>
    <cellStyle name="Text Indent C" xfId="4136"/>
    <cellStyle name="Text Indent C 10" xfId="4137"/>
    <cellStyle name="Text Indent C 11" xfId="4138"/>
    <cellStyle name="Text Indent C 12" xfId="4139"/>
    <cellStyle name="Text Indent C 13" xfId="4140"/>
    <cellStyle name="Text Indent C 14" xfId="4141"/>
    <cellStyle name="Text Indent C 15" xfId="4142"/>
    <cellStyle name="Text Indent C 16" xfId="4143"/>
    <cellStyle name="Text Indent C 2" xfId="4144"/>
    <cellStyle name="Text Indent C 3" xfId="4145"/>
    <cellStyle name="Text Indent C 4" xfId="4146"/>
    <cellStyle name="Text Indent C 5" xfId="4147"/>
    <cellStyle name="Text Indent C 6" xfId="4148"/>
    <cellStyle name="Text Indent C 7" xfId="4149"/>
    <cellStyle name="Text Indent C 8" xfId="4150"/>
    <cellStyle name="Text Indent C 9" xfId="4151"/>
    <cellStyle name="Tickmark" xfId="4175"/>
    <cellStyle name="Tien1" xfId="4176"/>
    <cellStyle name="Tieu_de_2" xfId="4177"/>
    <cellStyle name="Times New Roman" xfId="4178"/>
    <cellStyle name="tit1" xfId="4179"/>
    <cellStyle name="tit2" xfId="4180"/>
    <cellStyle name="tit2 2" xfId="4181"/>
    <cellStyle name="tit3" xfId="4182"/>
    <cellStyle name="tit4" xfId="4183"/>
    <cellStyle name="Title 2" xfId="4184"/>
    <cellStyle name="Tong so" xfId="4185"/>
    <cellStyle name="tong so 1" xfId="4186"/>
    <cellStyle name="Tong so_Bieu KHPTLN 2016-2020" xfId="4187"/>
    <cellStyle name="Tongcong" xfId="4188"/>
    <cellStyle name="Total 2" xfId="4189"/>
    <cellStyle name="tt1" xfId="4191"/>
    <cellStyle name="Tusental (0)_pldt" xfId="4192"/>
    <cellStyle name="Tusental_pldt" xfId="4193"/>
    <cellStyle name="th" xfId="4152"/>
    <cellStyle name="th 2" xfId="4153"/>
    <cellStyle name="þ_x005f_x001d_ð¤_x005f_x000c_¯þ_x005f_x0014__x005f_x000d_¨þU_x005f_x0001_À_x005f_x0004_ _x005f_x0015__x005f_x000f__x005f_x0001__x005f_x0001_" xfId="4154"/>
    <cellStyle name="þ_x005f_x001d_ð·_x005f_x000c_æþ'_x005f_x000d_ßþU_x005f_x0001_Ø_x005f_x0005_ü_x005f_x0014__x005f_x0007__x005f_x0001__x005f_x0001_" xfId="4155"/>
    <cellStyle name="þ_x005f_x001d_ðÇ%Uý—&amp;Hý9_x005f_x0008_Ÿ s_x005f_x000a__x005f_x0007__x005f_x0001__x005f_x0001_" xfId="4156"/>
    <cellStyle name="þ_x005f_x001d_ðK_x005f_x000c_Fý_x005f_x001b__x005f_x000d_9ýU_x005f_x0001_Ð_x005f_x0008_¦)_x005f_x0007__x005f_x0001__x005f_x0001_" xfId="4157"/>
    <cellStyle name="þ_x005f_x005f_x005f_x001d_ð¤_x005f_x005f_x005f_x000c_¯þ_x005f_x005f_x005f_x0014__x005f_x005f_x005f_x000d_¨þU_x005f_x005f_x005f_x0001_À_x005f_x005f_x005f_x0004_ _x005f_x005f_x005f_x0015__x005f_x005f_x005f_x000f__x005f_x005f_x005f_x0001__x005f_x005f_x005f_x0001_" xfId="4158"/>
    <cellStyle name="þ_x005f_x005f_x005f_x001d_ð·_x005f_x005f_x005f_x000c_æþ'_x005f_x005f_x005f_x000d_ßþU_x005f_x005f_x005f_x0001_Ø_x005f_x005f_x005f_x0005_ü_x005f_x005f_x005f_x0014__x005f_x005f_x005f_x0007__x005f_x005f_x005f_x0001__x005f_x005f_x005f_x0001_" xfId="4159"/>
    <cellStyle name="þ_x005f_x005f_x005f_x001d_ðÇ%Uý—&amp;Hý9_x005f_x005f_x005f_x0008_Ÿ s_x005f_x005f_x005f_x000a__x005f_x005f_x005f_x0007__x005f_x005f_x005f_x0001__x005f_x005f_x005f_x0001_" xfId="4160"/>
    <cellStyle name="þ_x005f_x005f_x005f_x001d_ðK_x005f_x005f_x005f_x000c_Fý_x005f_x005f_x005f_x001b__x005f_x005f_x005f_x000d_9ýU_x005f_x005f_x005f_x0001_Ð_x005f_x005f_x005f_x0008_¦)_x005f_x005f_x005f_x0007__x005f_x005f_x005f_x0001__x005f_x005f_x005f_x0001_" xfId="4161"/>
    <cellStyle name="than" xfId="4162"/>
    <cellStyle name="Thanh" xfId="4163"/>
    <cellStyle name="þ_x001d_ð¤_x000c_¯þ_x0014__x000a_¨þU_x0001_À_x0004_ _x0015__x000f__x0001__x0001_" xfId="4164"/>
    <cellStyle name="þ_x001d_ð¤_x000c_¯þ_x0014__x000d_¨þU_x0001_À_x0004_ _x0015__x000f__x0001__x0001_" xfId="4165"/>
    <cellStyle name="þ_x001d_ð·_x000c_æþ'_x000a_ßþU_x0001_Ø_x0005_ü_x0014__x0007__x0001__x0001_" xfId="4166"/>
    <cellStyle name="þ_x001d_ð·_x000c_æþ'_x000d_ßþU_x0001_Ø_x0005_ü_x0014__x0007__x0001__x0001_" xfId="4167"/>
    <cellStyle name="þ_x001d_ðÇ%Uý—&amp;Hý9_x0008_Ÿ s_x000a__x0007__x0001__x0001_" xfId="4168"/>
    <cellStyle name="þ_x001d_ðK_x000c_Fý_x001b__x000a_9ýU_x0001_Ð_x0008_¦)_x0007__x0001__x0001_" xfId="4169"/>
    <cellStyle name="þ_x001d_ðK_x000c_Fý_x001b__x000d_9ýU_x0001_Ð_x0008_¦)_x0007__x0001__x0001_" xfId="4170"/>
    <cellStyle name="thuong-10" xfId="4171"/>
    <cellStyle name="thuong-11" xfId="4172"/>
    <cellStyle name="thuong-11 2" xfId="4173"/>
    <cellStyle name="Thuyet minh" xfId="4174"/>
    <cellStyle name="trang" xfId="4190"/>
    <cellStyle name="ux_3_¼­¿ï-¾È»ê" xfId="4194"/>
    <cellStyle name="Valuta (0)_pldt" xfId="4195"/>
    <cellStyle name="Valuta_pldt" xfId="4196"/>
    <cellStyle name="VANG1" xfId="4197"/>
    <cellStyle name="VANG1 2" xfId="4198"/>
    <cellStyle name="viet" xfId="4199"/>
    <cellStyle name="viet2" xfId="4200"/>
    <cellStyle name="viet2 2" xfId="4201"/>
    <cellStyle name="VN new romanNormal" xfId="4202"/>
    <cellStyle name="VN new romanNormal 2" xfId="4203"/>
    <cellStyle name="VN new romanNormal 2 2" xfId="4204"/>
    <cellStyle name="VN new romanNormal 3" xfId="4205"/>
    <cellStyle name="VN new romanNormal_05-12  KH trung han 2016-2020 - Liem Thinh edited" xfId="4206"/>
    <cellStyle name="Vn Time 13" xfId="4207"/>
    <cellStyle name="Vn Time 14" xfId="4208"/>
    <cellStyle name="Vn Time 14 2" xfId="4209"/>
    <cellStyle name="Vn Time 14 3" xfId="4210"/>
    <cellStyle name="VN time new roman" xfId="4211"/>
    <cellStyle name="VN time new roman 2" xfId="4212"/>
    <cellStyle name="VN time new roman 2 2" xfId="4213"/>
    <cellStyle name="VN time new roman 3" xfId="4214"/>
    <cellStyle name="VN time new roman_05-12  KH trung han 2016-2020 - Liem Thinh edited" xfId="4215"/>
    <cellStyle name="vn_time" xfId="4216"/>
    <cellStyle name="vnbo" xfId="4217"/>
    <cellStyle name="vnbo 2" xfId="4218"/>
    <cellStyle name="vnbo 3" xfId="4219"/>
    <cellStyle name="vntxt1" xfId="4229"/>
    <cellStyle name="vntxt1 10" xfId="4230"/>
    <cellStyle name="vntxt1 11" xfId="4231"/>
    <cellStyle name="vntxt1 12" xfId="4232"/>
    <cellStyle name="vntxt1 13" xfId="4233"/>
    <cellStyle name="vntxt1 14" xfId="4234"/>
    <cellStyle name="vntxt1 15" xfId="4235"/>
    <cellStyle name="vntxt1 16" xfId="4236"/>
    <cellStyle name="vntxt1 2" xfId="4237"/>
    <cellStyle name="vntxt1 3" xfId="4238"/>
    <cellStyle name="vntxt1 4" xfId="4239"/>
    <cellStyle name="vntxt1 5" xfId="4240"/>
    <cellStyle name="vntxt1 6" xfId="4241"/>
    <cellStyle name="vntxt1 7" xfId="4242"/>
    <cellStyle name="vntxt1 8" xfId="4243"/>
    <cellStyle name="vntxt1 9" xfId="4244"/>
    <cellStyle name="vntxt1_05-12  KH trung han 2016-2020 - Liem Thinh edited" xfId="4245"/>
    <cellStyle name="vntxt2" xfId="4246"/>
    <cellStyle name="vnhead1" xfId="4220"/>
    <cellStyle name="vnhead1 2" xfId="4221"/>
    <cellStyle name="vnhead2" xfId="4222"/>
    <cellStyle name="vnhead2 2" xfId="4223"/>
    <cellStyle name="vnhead2 3" xfId="4224"/>
    <cellStyle name="vnhead3" xfId="4225"/>
    <cellStyle name="vnhead3 2" xfId="4226"/>
    <cellStyle name="vnhead3 3" xfId="4227"/>
    <cellStyle name="vnhead4" xfId="4228"/>
    <cellStyle name="W?hrung [0]_35ERI8T2gbIEMixb4v26icuOo" xfId="4247"/>
    <cellStyle name="W?hrung_35ERI8T2gbIEMixb4v26icuOo" xfId="4248"/>
    <cellStyle name="Währung [0]_68574_Materialbedarfsliste" xfId="4249"/>
    <cellStyle name="Währung_68574_Materialbedarfsliste" xfId="4250"/>
    <cellStyle name="Walutowy [0]_Invoices2001Slovakia" xfId="4251"/>
    <cellStyle name="Walutowy_Invoices2001Slovakia" xfId="4252"/>
    <cellStyle name="Warning Text 2" xfId="4253"/>
    <cellStyle name="wrap" xfId="4254"/>
    <cellStyle name="Wไhrung [0]_35ERI8T2gbIEMixb4v26icuOo" xfId="4255"/>
    <cellStyle name="Wไhrung_35ERI8T2gbIEMixb4v26icuOo" xfId="4256"/>
    <cellStyle name="xan1" xfId="4257"/>
    <cellStyle name="xuan" xfId="4258"/>
    <cellStyle name="y" xfId="4259"/>
    <cellStyle name="y 2" xfId="4260"/>
    <cellStyle name="Ý kh¸c_B¶ng 1 (2)" xfId="4261"/>
    <cellStyle name="เครื่องหมายสกุลเงิน [0]_FTC_OFFER" xfId="4262"/>
    <cellStyle name="เครื่องหมายสกุลเงิน_FTC_OFFER" xfId="4263"/>
    <cellStyle name="ปกติ_FTC_OFFER" xfId="4264"/>
    <cellStyle name=" [0.00]_ Att. 1- Cover" xfId="4265"/>
    <cellStyle name="_ Att. 1- Cover" xfId="4266"/>
    <cellStyle name="?_ Att. 1- Cover" xfId="4267"/>
    <cellStyle name="똿뗦먛귟 [0.00]_PRODUCT DETAIL Q1" xfId="4268"/>
    <cellStyle name="똿뗦먛귟_PRODUCT DETAIL Q1" xfId="4269"/>
    <cellStyle name="믅됞 [0.00]_PRODUCT DETAIL Q1" xfId="4270"/>
    <cellStyle name="믅됞_PRODUCT DETAIL Q1" xfId="4271"/>
    <cellStyle name="백분율_††††† " xfId="4272"/>
    <cellStyle name="뷭?_BOOKSHIP" xfId="4273"/>
    <cellStyle name="안건회계법인" xfId="4274"/>
    <cellStyle name="콤맀_Sheet1_총괄표 (수출입) (2)" xfId="4275"/>
    <cellStyle name="콤마 [ - 유형1" xfId="4276"/>
    <cellStyle name="콤마 [ - 유형2" xfId="4277"/>
    <cellStyle name="콤마 [ - 유형3" xfId="4278"/>
    <cellStyle name="콤마 [ - 유형4" xfId="4279"/>
    <cellStyle name="콤마 [ - 유형5" xfId="4280"/>
    <cellStyle name="콤마 [ - 유형6" xfId="4281"/>
    <cellStyle name="콤마 [ - 유형7" xfId="4282"/>
    <cellStyle name="콤마 [ - 유형8" xfId="4283"/>
    <cellStyle name="콤마 [0]_ 비목별 월별기술 " xfId="4284"/>
    <cellStyle name="콤마_ 비목별 월별기술 " xfId="4285"/>
    <cellStyle name="통화 [0]_††††† " xfId="4286"/>
    <cellStyle name="통화_††††† " xfId="4287"/>
    <cellStyle name="표섀_변경(최종)" xfId="4288"/>
    <cellStyle name="표준_ 97년 경영분석(안)" xfId="4289"/>
    <cellStyle name="표줠_Sheet1_1_총괄표 (수출입) (2)" xfId="4290"/>
    <cellStyle name="一般_00Q3902REV.1" xfId="4291"/>
    <cellStyle name="千分位[0]_00Q3902REV.1" xfId="4292"/>
    <cellStyle name="千分位_00Q3902REV.1" xfId="4293"/>
    <cellStyle name="桁区切り [0.00]_BE-BQ" xfId="4294"/>
    <cellStyle name="桁区切り_BE-BQ" xfId="4295"/>
    <cellStyle name="標準_(A1)BOQ " xfId="4296"/>
    <cellStyle name="貨幣 [0]_00Q3902REV.1" xfId="4297"/>
    <cellStyle name="貨幣[0]_BRE" xfId="4298"/>
    <cellStyle name="貨幣_00Q3902REV.1" xfId="4299"/>
    <cellStyle name="通貨 [0.00]_BE-BQ" xfId="4300"/>
    <cellStyle name="通貨_BE-BQ" xfId="4301"/>
  </cellStyles>
  <dxfs count="0"/>
  <tableStyles count="0" defaultTableStyle="TableStyleMedium9" defaultPivotStyle="PivotStyleLight16"/>
  <colors>
    <mruColors>
      <color rgb="FF04FC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KH%202016-2020\Dau%20tu\Tong%20hop%20phan%20bo\TH%202016-2020%20091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iangdtt318a\User\Downloads\TH%20phan%20bo%20%2017.9.2015_Th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PLI_CTrinh"/>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PIPE-03E"/>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Gia VL"/>
      <sheetName val="Bang gia ca may"/>
      <sheetName val="Bang luong CB"/>
      <sheetName val="Bang P.tich CT"/>
      <sheetName val="D.toan chi tiet"/>
      <sheetName val="Bang TH Dtoan"/>
      <sheetName val="XXXXXXXX"/>
      <sheetName val="1"/>
      <sheetName val="MD"/>
      <sheetName val="ND"/>
      <sheetName val="CONG"/>
      <sheetName val="DGCT"/>
      <sheetName val="KLHT"/>
      <sheetName val="THKP"/>
      <sheetName val="KL XL2000"/>
      <sheetName val="KLXL2001"/>
      <sheetName val="THKP2001"/>
      <sheetName val="KLphanbo"/>
      <sheetName val="Chiet tinh"/>
      <sheetName val="Van chuyen"/>
      <sheetName val="THKP (2)"/>
      <sheetName val="T.Bi"/>
      <sheetName val="Thiet ke"/>
      <sheetName val="CT"/>
      <sheetName val="K.luong"/>
      <sheetName val="TT L2"/>
      <sheetName val="TT L1"/>
      <sheetName val="Thue Ngoai"/>
      <sheetName val="KH"/>
      <sheetName val="DM"/>
      <sheetName val="DD&amp;TV"/>
      <sheetName val="CDSL"/>
      <sheetName val="PTSL"/>
      <sheetName val="THCP"/>
      <sheetName val="VT"/>
      <sheetName val="NL"/>
      <sheetName val="SoSanh"/>
      <sheetName val="QTVT"/>
      <sheetName val="QTNC"/>
      <sheetName val="Dong Dau"/>
      <sheetName val="Dong Dau (2)"/>
      <sheetName val="Sau dong"/>
      <sheetName val="Ma xa"/>
      <sheetName val="My dinh"/>
      <sheetName val="Tong cong"/>
      <sheetName val="Chi tiet - Dv lap"/>
      <sheetName val="TH KHTC"/>
      <sheetName val="000"/>
      <sheetName val="BC_KKTSCD"/>
      <sheetName val="Chitiet"/>
      <sheetName val="Sheet2 (2)"/>
      <sheetName val="Mau_BC_KKTSCD"/>
      <sheetName val="Chart2"/>
      <sheetName val="Tonghop"/>
      <sheetName val="TM"/>
      <sheetName val="Bia"/>
      <sheetName val="BU-gian"/>
      <sheetName val="Bu-Ha"/>
      <sheetName val="PTVT"/>
      <sheetName val="Gia DAN"/>
      <sheetName val="Dan"/>
      <sheetName val="Cuoc"/>
      <sheetName val="Bugia"/>
      <sheetName val="KL57"/>
      <sheetName val="Congty"/>
      <sheetName val="VPPN"/>
      <sheetName val="XN74"/>
      <sheetName val="XN54"/>
      <sheetName val="XN33"/>
      <sheetName val="NK96"/>
      <sheetName val="XL4Test5"/>
      <sheetName val="KH12"/>
      <sheetName val="CN12"/>
      <sheetName val="HD12"/>
      <sheetName val="KH1"/>
      <sheetName val="THCT"/>
      <sheetName val="cap cho cac DT"/>
      <sheetName val="Ung - hoan"/>
      <sheetName val="CP may"/>
      <sheetName val="SS"/>
      <sheetName val="NVL"/>
      <sheetName val="10000000"/>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Tong Thu"/>
      <sheetName val="Tong Chi"/>
      <sheetName val="Truong hoc"/>
      <sheetName val="Cty CP"/>
      <sheetName val="G.thau 3B"/>
      <sheetName val="T.Hop Thu-chi"/>
      <sheetName val="DTHH"/>
      <sheetName val="Bang1"/>
      <sheetName val="TAI TRONG"/>
      <sheetName val="NOI LUC"/>
      <sheetName val="TINH DUYET THTT CHINH"/>
      <sheetName val="TDUYET THTT PHU"/>
      <sheetName val="TINH DAO DONG VA DO VONG"/>
      <sheetName val="TINH NEO"/>
      <sheetName val="Phu luc"/>
      <sheetName val="Gia trÞ"/>
      <sheetName val="TH"/>
      <sheetName val="Sheet17"/>
      <sheetName val="DS them luong qui 4-2002"/>
      <sheetName val="Phuc loi 2-9-02"/>
      <sheetName val="PCLB-2002"/>
      <sheetName val="Thuong nhan dip 21-12-02"/>
      <sheetName val="Thuong dip nhan danh hieu AHL§"/>
      <sheetName val="Thang luong thu 13 nam 2002"/>
      <sheetName val="Luong SX# dip Tet Qui Mui(dong)"/>
      <sheetName val="Sheet13"/>
      <sheetName val="Sheet14"/>
      <sheetName val="Sheet15"/>
      <sheetName val="Sheet16"/>
      <sheetName val="VL"/>
      <sheetName val="CTXD"/>
      <sheetName val=".."/>
      <sheetName val="CTDN"/>
      <sheetName val="san vuon"/>
      <sheetName val="khu phu tro"/>
      <sheetName val="KH 2003 (moi max)"/>
      <sheetName val="116(300)"/>
      <sheetName val="116(200)"/>
      <sheetName val="116(150)"/>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Thuyet minh"/>
      <sheetName val="CQ-HQ"/>
      <sheetName val="be tong"/>
      <sheetName val="Thep"/>
      <sheetName val="Tong hop thep"/>
      <sheetName val="CT Duong"/>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Thep "/>
      <sheetName val="Chi tiet Khoi luong"/>
      <sheetName val="TH khoi luong"/>
      <sheetName val="Chiet tinh vat lieu "/>
      <sheetName val="TH KL VL"/>
      <sheetName val="phan tich DG"/>
      <sheetName val="gia vat lieu"/>
      <sheetName val="gia xe may"/>
      <sheetName val="gia nhan cong"/>
      <sheetName val="cd viaK0-T6"/>
      <sheetName val="cdvia T6-Tc24"/>
      <sheetName val="cdvia Tc24-T46"/>
      <sheetName val="cdbtnL2ko-k0+361"/>
      <sheetName val="cd btnL2k0+361-T19"/>
      <sheetName val="01"/>
      <sheetName val="02"/>
      <sheetName val="03"/>
      <sheetName val="04"/>
      <sheetName val="05"/>
      <sheetName val="Sheet18"/>
      <sheetName val="Sheet19"/>
      <sheetName val="Sheet20"/>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cong Q2"/>
      <sheetName val="T.U luong Q1"/>
      <sheetName val="T.U luong Q2"/>
      <sheetName val="T.U luong Q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DT"/>
      <sheetName val="THND"/>
      <sheetName val="THMD"/>
      <sheetName val="Phtro1"/>
      <sheetName val="DTKS1"/>
      <sheetName val="CT1m"/>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PTCT"/>
      <sheetName val="CDghino"/>
      <sheetName val="TH (T1-6)"/>
      <sheetName val="ThueTB"/>
      <sheetName val="SCD5"/>
      <sheetName val=" NL"/>
      <sheetName val="CPVL-CPM"/>
      <sheetName val="PTVL"/>
      <sheetName val="CD1"/>
      <sheetName val=" NL (2)"/>
      <sheetName val="CDTHCT"/>
      <sheetName val="CDTHCT (3)"/>
      <sheetName val="dutoan1"/>
      <sheetName val="Anhtoan"/>
      <sheetName val="dutoan2"/>
      <sheetName val="vat tu"/>
      <sheetName val="Quang Tri"/>
      <sheetName val="TTHue"/>
      <sheetName val="Da Nang"/>
      <sheetName val="Quang Nam"/>
      <sheetName val="Quang Ngai"/>
      <sheetName val="TH DH-QN"/>
      <sheetName val="KP HD"/>
      <sheetName val="DB HD"/>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Caodo"/>
      <sheetName val="Dat"/>
      <sheetName val="KL-CTTK"/>
      <sheetName val="BTH"/>
      <sheetName val="CHIT"/>
      <sheetName val="THXH"/>
      <sheetName val="BHXH"/>
      <sheetName val="Phu luc HD"/>
      <sheetName val="Gia du thau"/>
      <sheetName val="PTDG"/>
      <sheetName val="Ca xe"/>
      <sheetName val="CT xa"/>
      <sheetName val="TLGC"/>
      <sheetName val="BL"/>
      <sheetName val="tscd"/>
      <sheetName val="KM"/>
      <sheetName val="KHOANMUC"/>
      <sheetName val="CPQL"/>
      <sheetName val="SANLUONG"/>
      <sheetName val="SSCP-SL"/>
      <sheetName val="CPSX"/>
      <sheetName val="KQKD"/>
      <sheetName val="CDSL (2)"/>
      <sheetName val="00000001"/>
      <sheetName val="00000002"/>
      <sheetName val="00000003"/>
      <sheetName val="00000004"/>
      <sheetName val="tc"/>
      <sheetName val="TDT"/>
      <sheetName val="xl"/>
      <sheetName val="NN"/>
      <sheetName val="Tralaivay"/>
      <sheetName val="TBTN"/>
      <sheetName val="CPTV"/>
      <sheetName val="PCCHAY"/>
      <sheetName val="dtks"/>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THDT"/>
      <sheetName val="DM-Goc"/>
      <sheetName val="Gia-CT"/>
      <sheetName val="PTCP"/>
      <sheetName val="cphoi"/>
      <sheetName val="9"/>
      <sheetName val="10"/>
      <sheetName val="KL VL"/>
      <sheetName val="KHCTiet"/>
      <sheetName val="QT 9-6"/>
      <sheetName val="Thuong luu HB"/>
      <sheetName val="QT03"/>
      <sheetName val="QT"/>
      <sheetName val="PTmay"/>
      <sheetName val="KK"/>
      <sheetName val="QT Ky T"/>
      <sheetName val="BCKT"/>
      <sheetName val="bc vt TON BAI"/>
      <sheetName val="XXXXXXX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binh do"/>
      <sheetName val="cot lieu"/>
      <sheetName val="van khuon"/>
      <sheetName val="CT BT"/>
      <sheetName val="lay mau"/>
      <sheetName val="mat ngoai goi"/>
      <sheetName val="coc tram-bt"/>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sent to"/>
      <sheetName val="Q1-02"/>
      <sheetName val="Q2-02"/>
      <sheetName val="Q3-02"/>
      <sheetName val="Tien ung"/>
      <sheetName val="phi luong3"/>
      <sheetName val="Quyet toan"/>
      <sheetName val="Thu hoi"/>
      <sheetName val="Lai vay"/>
      <sheetName val="Tien vay"/>
      <sheetName val="Cong no"/>
      <sheetName val="Cop pha"/>
      <sheetName val="20000000"/>
      <sheetName val="T1(T1)04"/>
      <sheetName val="KH-2001"/>
      <sheetName val="KH-2002"/>
      <sheetName val="KH-2003"/>
      <sheetName val="DGTL"/>
      <sheetName val="®¬ngi¸"/>
      <sheetName val="dongle"/>
      <sheetName val="XE DAU"/>
      <sheetName val="XE XANG"/>
      <sheetName val="Thang 12"/>
      <sheetName val="Thang 1"/>
      <sheetName val="moi"/>
      <sheetName val="Thang 12 (2)"/>
      <sheetName val="Thang 01"/>
      <sheetName val="clvl"/>
      <sheetName val="Chenh lech"/>
      <sheetName val="Kinh phí"/>
      <sheetName val="TH mau moi tu T10"/>
      <sheetName val="Tong hop Quy IV"/>
      <sheetName val="DGXDCB"/>
      <sheetName val="DEM"/>
      <sheetName val="KHOILUONG"/>
      <sheetName val="DONGIA"/>
      <sheetName val="CPKSTK"/>
      <sheetName val="THIETBI"/>
      <sheetName val="VC1"/>
      <sheetName val="VC2"/>
      <sheetName val="VC3"/>
      <sheetName val="VC4"/>
      <sheetName val="VC5"/>
      <sheetName val="BaoCao"/>
      <sheetName val="TT"/>
      <sheetName val="CO SO DU LIEU PTVL"/>
      <sheetName val="Cau 2(3)"/>
      <sheetName val="00000005"/>
      <sheetName val="00000006"/>
      <sheetName val="HTSD6LD"/>
      <sheetName val="HTSDDNN"/>
      <sheetName val="HTSDKT"/>
      <sheetName val="BD"/>
      <sheetName val="HTNT"/>
      <sheetName val="CHART"/>
      <sheetName val="HTDT"/>
      <sheetName val="HTSDD"/>
      <sheetName val="Dec31"/>
      <sheetName val="Jan2"/>
      <sheetName val="Jan3"/>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C45A-BH"/>
      <sheetName val="C46A-BH"/>
      <sheetName val="C47A-BH"/>
      <sheetName val="C48A-BH"/>
      <sheetName val="S-53-1"/>
      <sheetName val="PXuat"/>
      <sheetName val="THVT.T5"/>
      <sheetName val="XL1.t5"/>
      <sheetName val="XL2.T5"/>
      <sheetName val="XL3.T5"/>
      <sheetName val="XL5.T5"/>
      <sheetName val="NRC"/>
      <sheetName val="TH du toan "/>
      <sheetName val="Du toan "/>
      <sheetName val="C.Tinh"/>
      <sheetName val="TK_cap"/>
      <sheetName val="KH 200³ (moi max)"/>
      <sheetName val="C47T11"/>
      <sheetName val="C45T11"/>
      <sheetName val="C45 T10"/>
      <sheetName val="C47-t10"/>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PIPE-03E.XLS"/>
      <sheetName val="THCCDCXN"/>
      <sheetName val="CC.XL1"/>
      <sheetName val="XL2"/>
      <sheetName val="XL3"/>
      <sheetName val="XL5"/>
      <sheetName val="Cpa"/>
      <sheetName val="khXN"/>
      <sheetName val="KKTS.04"/>
      <sheetName val="nha kct"/>
      <sheetName val="BKV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XN79"/>
      <sheetName val="CTM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TD_x0000_"/>
      <sheetName val="TDÕ"/>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TD@"/>
      <sheetName val="T12"/>
      <sheetName val="T11"/>
      <sheetName val="CT 03"/>
      <sheetName val="TH 03"/>
      <sheetName val="\MGT-DRT\MGT-IMPR\MGT-SC@\BA039"/>
      <sheetName val="Cong hoþ"/>
      <sheetName val="28+!60-28+420.5K95"/>
      <sheetName val="Thi sinh"/>
      <sheetName val="SPS"/>
      <sheetName val="DSNV"/>
      <sheetName val="Cham cong"/>
      <sheetName val="Bang luong"/>
      <sheetName val="LCB"/>
      <sheetName val="CN131"/>
      <sheetName val="STH 152"/>
      <sheetName val="CN 331"/>
      <sheetName val="VLSPHH"/>
      <sheetName val="DVKH"/>
      <sheetName val="Kho"/>
      <sheetName val="THDN MBA phu tai"/>
      <sheetName val="TBA CC"/>
      <sheetName val="D.Da0"/>
      <sheetName val="B9_SCL (2)"/>
      <sheetName val="T-9"/>
      <sheetName val="Thang 7-05"/>
      <sheetName val="Bia dvi"/>
      <sheetName val="B3_Tonghop thang"/>
      <sheetName val="B4_TTG"/>
      <sheetName val="B7_TaiNan"/>
      <sheetName val="B8_DongDien"/>
      <sheetName val="B9_SCL"/>
      <sheetName val="B10_SCTX"/>
      <sheetName val="B11_XTM"/>
      <sheetName val="B12_TBDC"/>
      <sheetName val="B13_LanKT"/>
      <sheetName val="BB NT GD H-thanh"/>
      <sheetName val="BB NT KL"/>
      <sheetName val="Goi2"/>
      <sheetName val="THpp"/>
      <sheetName val="pp"/>
      <sheetName val="CL PP"/>
      <sheetName val="TH DgPP"/>
      <sheetName val="Dg PP"/>
      <sheetName val="CL DgPP"/>
      <sheetName val="TH DDau"/>
      <sheetName val="DDau"/>
      <sheetName val="GT3PP"/>
      <sheetName val="CLDD"/>
      <sheetName val="GT3DD"/>
      <sheetName val="TH DVu"/>
      <sheetName val="Dichvu"/>
      <sheetName val="CL Dvu"/>
      <sheetName val="TH DgDvu"/>
      <sheetName val="Dg DV"/>
      <sheetName val="PTDdv"/>
      <sheetName val="CLDdv"/>
      <sheetName val="GT3DV"/>
      <sheetName val="TH-CO"/>
      <sheetName val="C.O"/>
      <sheetName val="TH dg OC"/>
      <sheetName val="DCO"/>
      <sheetName val="CL CatOng"/>
      <sheetName val="Bang qui cach Vtu"/>
      <sheetName val="T01"/>
      <sheetName val="T04"/>
      <sheetName val="DTcojg 4-5"/>
      <sheetName val="Tojg hop thep"/>
      <sheetName val="Phan tich don gia (doc)"/>
      <sheetName val="soi tho soi det"/>
      <sheetName val="soi thuong"/>
      <sheetName val="ni"/>
      <sheetName val="vai det"/>
      <sheetName val="chi phi 1tan"/>
      <sheetName val="von luu dong"/>
      <sheetName val="thue VAT"/>
      <sheetName val="doanh thu"/>
      <sheetName val="doanh thu loi nhuan"/>
      <sheetName val="dong tien"/>
      <sheetName val="thu hoi von"/>
      <sheetName val="hoan von"/>
      <sheetName val="dothi npv"/>
      <sheetName val="diem hoa von"/>
      <sheetName val="nop ngan sach"/>
      <sheetName val="chi tieu"/>
      <sheetName val="luong thang 10"/>
      <sheetName val="tong hop thang 10"/>
      <sheetName val="loung11"/>
      <sheetName val="TH 11"/>
      <sheetName val="T122"/>
      <sheetName val="T121"/>
      <sheetName val="px khai thac 2"/>
      <sheetName val="dao lo so 2"/>
      <sheetName val="luong vp thang 10"/>
      <sheetName val="T_x0003__x0000_ong dip nhan danh hieu AHL§"/>
      <sheetName val="pt0-1"/>
      <sheetName val="kp0-1"/>
      <sheetName val="0-1"/>
      <sheetName val="pt2-3"/>
      <sheetName val="thkp2-3"/>
      <sheetName val="2-3"/>
      <sheetName val="cl1-2"/>
      <sheetName val="thkp1-2"/>
      <sheetName val="clvl1-2"/>
      <sheetName val="1-2"/>
      <sheetName val="26+960-27+050.9"/>
      <sheetName val="\N\MGT-DRT\MGT-IMPR\MGT-SC@\BA0"/>
      <sheetName val="Chung tu"/>
      <sheetName val="So cai"/>
      <sheetName val="Can doi"/>
      <sheetName val="Phat sinh"/>
      <sheetName val="MLDV"/>
      <sheetName val="catongcu"/>
      <sheetName val="BC"/>
      <sheetName val="NNCONGNHAN"/>
      <sheetName val="bangtonghop"/>
      <sheetName val="B T HOP"/>
      <sheetName val="HT HE DUONG"/>
      <sheetName val="MLPP"/>
      <sheetName val="DH D1,2"/>
      <sheetName val="Tro giup"/>
      <sheetName val="XXXXXXX_x0018_"/>
      <sheetName val="UBi"/>
      <sheetName val="GDTL cong D40"/>
      <sheetName val="THKPcong D40"/>
      <sheetName val="GDTran gieng"/>
      <sheetName val="THKPtran gieng"/>
      <sheetName val="XD"/>
      <sheetName val="THDT (2)"/>
      <sheetName val="DB (2)"/>
      <sheetName val="THTke"/>
      <sheetName val="DGTLdap dat (3)"/>
      <sheetName val="TM Du toan"/>
      <sheetName val="THKP dap chinh (3)"/>
      <sheetName val="@.Dap"/>
      <sheetName val="Cong doan"/>
      <sheetName val="A"/>
      <sheetName val="PTS䁌"/>
      <sheetName val="BU13-_x0003__x0000_+"/>
    </sheetNames>
    <definedNames>
      <definedName name="DataFilter"/>
      <definedName name="DataSort"/>
      <definedName name="GoBack" sheetId="0"/>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refreshError="1"/>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refreshError="1"/>
      <sheetData sheetId="579" refreshError="1"/>
      <sheetData sheetId="580" refreshError="1"/>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sheetData sheetId="774"/>
      <sheetData sheetId="775"/>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sheetData sheetId="833"/>
      <sheetData sheetId="834"/>
      <sheetData sheetId="835"/>
      <sheetData sheetId="836"/>
      <sheetData sheetId="837"/>
      <sheetData sheetId="838"/>
      <sheetData sheetId="839"/>
      <sheetData sheetId="840"/>
      <sheetData sheetId="841"/>
      <sheetData sheetId="842" refreshError="1"/>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sheetData sheetId="876"/>
      <sheetData sheetId="877"/>
      <sheetData sheetId="878"/>
      <sheetData sheetId="879"/>
      <sheetData sheetId="880"/>
      <sheetData sheetId="881"/>
      <sheetData sheetId="882"/>
      <sheetData sheetId="883"/>
      <sheetData sheetId="884"/>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sheetData sheetId="907"/>
      <sheetData sheetId="908" refreshError="1"/>
      <sheetData sheetId="909" refreshError="1"/>
      <sheetData sheetId="910" refreshError="1"/>
      <sheetData sheetId="911" refreshError="1"/>
      <sheetData sheetId="912" refreshError="1"/>
      <sheetData sheetId="913" refreshError="1"/>
      <sheetData sheetId="914" refreshError="1"/>
      <sheetData sheetId="915"/>
      <sheetData sheetId="916"/>
      <sheetData sheetId="917"/>
      <sheetData sheetId="918"/>
      <sheetData sheetId="919"/>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sheetData sheetId="960"/>
      <sheetData sheetId="961"/>
      <sheetData sheetId="962"/>
      <sheetData sheetId="963"/>
      <sheetData sheetId="964"/>
      <sheetData sheetId="965"/>
      <sheetData sheetId="966"/>
      <sheetData sheetId="967"/>
      <sheetData sheetId="968"/>
      <sheetData sheetId="969"/>
      <sheetData sheetId="970" refreshError="1"/>
      <sheetData sheetId="971"/>
      <sheetData sheetId="972"/>
      <sheetData sheetId="973"/>
      <sheetData sheetId="974"/>
      <sheetData sheetId="975"/>
      <sheetData sheetId="976"/>
      <sheetData sheetId="977"/>
      <sheetData sheetId="978"/>
      <sheetData sheetId="979"/>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refreshError="1"/>
      <sheetData sheetId="1237" refreshError="1"/>
      <sheetData sheetId="1238" refreshError="1"/>
      <sheetData sheetId="1239"/>
      <sheetData sheetId="1240" refreshError="1"/>
      <sheetData sheetId="1241"/>
      <sheetData sheetId="1242"/>
      <sheetData sheetId="1243" refreshError="1"/>
      <sheetData sheetId="1244" refreshError="1"/>
      <sheetData sheetId="1245"/>
      <sheetData sheetId="1246"/>
      <sheetData sheetId="1247"/>
      <sheetData sheetId="1248"/>
      <sheetData sheetId="1249"/>
      <sheetData sheetId="1250" refreshError="1"/>
      <sheetData sheetId="1251" refreshError="1"/>
      <sheetData sheetId="1252" refreshError="1"/>
      <sheetData sheetId="1253" refreshError="1"/>
      <sheetData sheetId="1254"/>
      <sheetData sheetId="1255"/>
      <sheetData sheetId="1256"/>
      <sheetData sheetId="1257"/>
      <sheetData sheetId="1258"/>
      <sheetData sheetId="1259"/>
      <sheetData sheetId="1260"/>
      <sheetData sheetId="1261" refreshError="1"/>
      <sheetData sheetId="1262"/>
      <sheetData sheetId="1263"/>
      <sheetData sheetId="1264"/>
      <sheetData sheetId="1265"/>
      <sheetData sheetId="1266"/>
      <sheetData sheetId="1267"/>
      <sheetData sheetId="1268"/>
      <sheetData sheetId="1269"/>
      <sheetData sheetId="1270"/>
      <sheetData sheetId="1271" refreshError="1"/>
      <sheetData sheetId="1272" refreshError="1"/>
      <sheetData sheetId="1273" refreshError="1"/>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refreshError="1"/>
      <sheetData sheetId="1288" refreshError="1"/>
      <sheetData sheetId="1289" refreshError="1"/>
      <sheetData sheetId="1290" refreshError="1"/>
      <sheetData sheetId="1291"/>
      <sheetData sheetId="1292"/>
      <sheetData sheetId="1293" refreshError="1"/>
      <sheetData sheetId="1294" refreshError="1"/>
      <sheetData sheetId="1295"/>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refreshError="1"/>
      <sheetData sheetId="1330" refreshError="1"/>
      <sheetData sheetId="1331" refreshError="1"/>
      <sheetData sheetId="1332"/>
      <sheetData sheetId="1333"/>
      <sheetData sheetId="1334"/>
      <sheetData sheetId="1335"/>
      <sheetData sheetId="1336"/>
      <sheetData sheetId="1337"/>
      <sheetData sheetId="1338"/>
      <sheetData sheetId="1339"/>
      <sheetData sheetId="1340"/>
      <sheetData sheetId="134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sheetData sheetId="137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 chung"/>
      <sheetName val="BANCO (3)"/>
      <sheetName val="MT TW in (2)"/>
      <sheetName val="PL III CTrinh (2)"/>
      <sheetName val="PL IV nganh (2)"/>
      <sheetName val="MT DPin (3)"/>
      <sheetName val="TH in (2)"/>
      <sheetName val="PLIb"/>
      <sheetName val="PLIIIb"/>
      <sheetName val="BANCO (2)"/>
      <sheetName val="MT DPin (2)"/>
      <sheetName val="THSS"/>
      <sheetName val="THSS (3)"/>
      <sheetName val="THSS (4)"/>
      <sheetName val="THSS (6)"/>
      <sheetName val="THSS (5)"/>
      <sheetName val="THSS (7)"/>
      <sheetName val="PL III CTrinh (3)"/>
      <sheetName val="PL IV nganh (3)"/>
      <sheetName val="PL III CTrinh"/>
      <sheetName val="PL IV nganh"/>
      <sheetName val="TH 2016-2020-gom CTMTQG"/>
      <sheetName val="SS dia phuong"/>
      <sheetName val="TH 2016-2020 -Kgom CTMTQG"/>
      <sheetName val="TH in"/>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TH phan bo  17.9.2015_Thu"/>
    </sheetNames>
    <sheetDataSet>
      <sheetData sheetId="0" refreshError="1"/>
      <sheetData sheetId="1">
        <row r="122">
          <cell r="I122">
            <v>6.7156099999999999</v>
          </cell>
        </row>
      </sheetData>
      <sheetData sheetId="2">
        <row r="29">
          <cell r="K29">
            <v>49327</v>
          </cell>
        </row>
      </sheetData>
      <sheetData sheetId="3" refreshError="1"/>
      <sheetData sheetId="4" refreshError="1"/>
      <sheetData sheetId="5" refreshError="1"/>
      <sheetData sheetId="6" refreshError="1"/>
      <sheetData sheetId="7" refreshError="1"/>
      <sheetData sheetId="8" refreshError="1"/>
      <sheetData sheetId="9">
        <row r="123">
          <cell r="F123">
            <v>4.5632445555441416E-2</v>
          </cell>
        </row>
      </sheetData>
      <sheetData sheetId="10">
        <row r="99">
          <cell r="BP99">
            <v>6.7156099999999999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3">
          <cell r="B13" t="str">
            <v>TỔNG SỐ</v>
          </cell>
        </row>
      </sheetData>
      <sheetData sheetId="26"/>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W316"/>
  <sheetViews>
    <sheetView zoomScale="70" zoomScaleNormal="70" zoomScalePageLayoutView="90" workbookViewId="0">
      <pane xSplit="2" ySplit="8" topLeftCell="C281" activePane="bottomRight" state="frozen"/>
      <selection pane="topRight" activeCell="H1" sqref="H1"/>
      <selection pane="bottomLeft" activeCell="A9" sqref="A9"/>
      <selection pane="bottomRight" activeCell="K249" sqref="K249"/>
    </sheetView>
  </sheetViews>
  <sheetFormatPr defaultColWidth="9" defaultRowHeight="12.75"/>
  <cols>
    <col min="1" max="1" width="5.375" style="146" customWidth="1"/>
    <col min="2" max="2" width="45.625" style="147" customWidth="1"/>
    <col min="3" max="3" width="7.625" style="148" customWidth="1"/>
    <col min="4" max="4" width="6.75" style="149" customWidth="1"/>
    <col min="5" max="5" width="7" style="150" customWidth="1"/>
    <col min="6" max="6" width="19.125" style="151" customWidth="1"/>
    <col min="7" max="7" width="10.5" style="146" bestFit="1" customWidth="1"/>
    <col min="8" max="8" width="10.75" style="146" customWidth="1"/>
    <col min="9" max="9" width="12.875" style="146" customWidth="1"/>
    <col min="10" max="10" width="10.625" style="146" customWidth="1"/>
    <col min="11" max="11" width="9.375" style="146" customWidth="1"/>
    <col min="12" max="12" width="23.625" style="151" customWidth="1"/>
    <col min="13" max="13" width="15.25" style="151" customWidth="1"/>
    <col min="14" max="14" width="10.125" style="146" customWidth="1"/>
    <col min="15" max="15" width="14" style="146" customWidth="1"/>
    <col min="16" max="16" width="13.125" style="146" customWidth="1"/>
    <col min="17" max="17" width="12.875" style="146" customWidth="1"/>
    <col min="18" max="16384" width="9" style="146"/>
  </cols>
  <sheetData>
    <row r="1" spans="1:17" s="144" customFormat="1" ht="20.25">
      <c r="A1" s="1714" t="s">
        <v>802</v>
      </c>
      <c r="B1" s="1714"/>
      <c r="C1" s="1714"/>
      <c r="D1" s="1714"/>
      <c r="E1" s="1714"/>
      <c r="F1" s="1714"/>
      <c r="G1" s="1714"/>
      <c r="H1" s="1714"/>
      <c r="I1" s="1714"/>
      <c r="J1" s="1714"/>
      <c r="K1" s="1714"/>
      <c r="L1" s="1714"/>
      <c r="M1" s="143"/>
    </row>
    <row r="2" spans="1:17" s="144" customFormat="1" ht="19.5" customHeight="1">
      <c r="A2" s="1715" t="s">
        <v>803</v>
      </c>
      <c r="B2" s="1715"/>
      <c r="C2" s="1715"/>
      <c r="D2" s="1715"/>
      <c r="E2" s="1715"/>
      <c r="F2" s="1715"/>
      <c r="G2" s="1715"/>
      <c r="H2" s="1715"/>
      <c r="I2" s="1715"/>
      <c r="J2" s="1715"/>
      <c r="K2" s="1715"/>
      <c r="L2" s="1715"/>
      <c r="M2" s="145"/>
    </row>
    <row r="3" spans="1:17" ht="20.25" customHeight="1">
      <c r="K3" s="152"/>
      <c r="L3" s="153"/>
      <c r="M3" s="153"/>
    </row>
    <row r="4" spans="1:17" s="155" customFormat="1" ht="16.5" customHeight="1">
      <c r="A4" s="1716" t="s">
        <v>0</v>
      </c>
      <c r="B4" s="1717" t="s">
        <v>1</v>
      </c>
      <c r="C4" s="1717" t="s">
        <v>2</v>
      </c>
      <c r="D4" s="1720" t="s">
        <v>341</v>
      </c>
      <c r="E4" s="1721" t="s">
        <v>165</v>
      </c>
      <c r="F4" s="1713" t="s">
        <v>3</v>
      </c>
      <c r="G4" s="1713"/>
      <c r="H4" s="1713"/>
      <c r="I4" s="1711" t="s">
        <v>521</v>
      </c>
      <c r="J4" s="1711"/>
      <c r="K4" s="1722" t="s">
        <v>804</v>
      </c>
      <c r="L4" s="1725" t="s">
        <v>805</v>
      </c>
      <c r="M4" s="154"/>
      <c r="P4" s="1711" t="s">
        <v>788</v>
      </c>
      <c r="Q4" s="1711"/>
    </row>
    <row r="5" spans="1:17" s="155" customFormat="1" ht="16.5" customHeight="1">
      <c r="A5" s="1716"/>
      <c r="B5" s="1718"/>
      <c r="C5" s="1718"/>
      <c r="D5" s="1720"/>
      <c r="E5" s="1721"/>
      <c r="F5" s="1712" t="s">
        <v>806</v>
      </c>
      <c r="G5" s="1713" t="s">
        <v>6</v>
      </c>
      <c r="H5" s="1713"/>
      <c r="I5" s="1711"/>
      <c r="J5" s="1711"/>
      <c r="K5" s="1723"/>
      <c r="L5" s="1725"/>
      <c r="M5" s="154"/>
      <c r="P5" s="1711"/>
      <c r="Q5" s="1711"/>
    </row>
    <row r="6" spans="1:17" s="155" customFormat="1" ht="16.5" customHeight="1">
      <c r="A6" s="1716"/>
      <c r="B6" s="1718"/>
      <c r="C6" s="1718"/>
      <c r="D6" s="1720"/>
      <c r="E6" s="1721"/>
      <c r="F6" s="1713"/>
      <c r="G6" s="1712" t="s">
        <v>807</v>
      </c>
      <c r="H6" s="1712" t="s">
        <v>808</v>
      </c>
      <c r="I6" s="1711" t="s">
        <v>8</v>
      </c>
      <c r="J6" s="1712" t="s">
        <v>808</v>
      </c>
      <c r="K6" s="1723"/>
      <c r="L6" s="1725"/>
      <c r="M6" s="154"/>
      <c r="P6" s="1711" t="s">
        <v>8</v>
      </c>
      <c r="Q6" s="1712" t="s">
        <v>808</v>
      </c>
    </row>
    <row r="7" spans="1:17" s="155" customFormat="1" ht="33.75" customHeight="1">
      <c r="A7" s="1716"/>
      <c r="B7" s="1719"/>
      <c r="C7" s="1719"/>
      <c r="D7" s="1720"/>
      <c r="E7" s="1721"/>
      <c r="F7" s="1713"/>
      <c r="G7" s="1713"/>
      <c r="H7" s="1713"/>
      <c r="I7" s="1711"/>
      <c r="J7" s="1713"/>
      <c r="K7" s="1724"/>
      <c r="L7" s="1726"/>
      <c r="M7" s="156"/>
      <c r="P7" s="1711"/>
      <c r="Q7" s="1713"/>
    </row>
    <row r="8" spans="1:17" s="155" customFormat="1" ht="16.5">
      <c r="A8" s="157">
        <v>1</v>
      </c>
      <c r="B8" s="157">
        <v>2</v>
      </c>
      <c r="C8" s="157">
        <v>3</v>
      </c>
      <c r="D8" s="157">
        <v>4</v>
      </c>
      <c r="E8" s="157" t="s">
        <v>458</v>
      </c>
      <c r="F8" s="2">
        <v>6</v>
      </c>
      <c r="G8" s="157">
        <v>7</v>
      </c>
      <c r="H8" s="157">
        <v>8</v>
      </c>
      <c r="I8" s="157">
        <v>9</v>
      </c>
      <c r="J8" s="157">
        <v>10</v>
      </c>
      <c r="K8" s="157">
        <v>11</v>
      </c>
      <c r="L8" s="157">
        <v>12</v>
      </c>
      <c r="M8" s="158"/>
    </row>
    <row r="9" spans="1:17" s="8" customFormat="1" ht="15.75">
      <c r="A9" s="2"/>
      <c r="B9" s="142" t="s">
        <v>459</v>
      </c>
      <c r="C9" s="2"/>
      <c r="D9" s="2"/>
      <c r="E9" s="2"/>
      <c r="F9" s="159"/>
      <c r="G9" s="9">
        <f>SUBTOTAL(109,G10:G316)</f>
        <v>5601346.5222222228</v>
      </c>
      <c r="H9" s="9">
        <f>SUBTOTAL(109,H10:H316)</f>
        <v>2780463.222222222</v>
      </c>
      <c r="I9" s="9">
        <f>SUBTOTAL(109,I10:I316)</f>
        <v>1939164</v>
      </c>
      <c r="J9" s="9">
        <f>SUBTOTAL(109,J10:J316)</f>
        <v>950906</v>
      </c>
      <c r="K9" s="9">
        <f>SUBTOTAL(109,K10:K316)</f>
        <v>629739.80000000005</v>
      </c>
      <c r="L9" s="9"/>
      <c r="M9" s="113"/>
    </row>
    <row r="10" spans="1:17" s="8" customFormat="1" ht="15.75">
      <c r="A10" s="141" t="s">
        <v>655</v>
      </c>
      <c r="B10" s="142" t="s">
        <v>809</v>
      </c>
      <c r="C10" s="2"/>
      <c r="D10" s="2"/>
      <c r="E10" s="2"/>
      <c r="F10" s="159"/>
      <c r="G10" s="9">
        <f>SUBTOTAL(109,G11:G151)</f>
        <v>1803129.5222222223</v>
      </c>
      <c r="H10" s="9">
        <f t="shared" ref="H10:K10" si="0">SUBTOTAL(109,H11:H151)</f>
        <v>856196.52222222218</v>
      </c>
      <c r="I10" s="9">
        <f t="shared" si="0"/>
        <v>618380</v>
      </c>
      <c r="J10" s="9">
        <f t="shared" si="0"/>
        <v>260506</v>
      </c>
      <c r="K10" s="9">
        <f t="shared" si="0"/>
        <v>273239.8</v>
      </c>
      <c r="L10" s="9"/>
      <c r="M10" s="113"/>
    </row>
    <row r="11" spans="1:17" s="8" customFormat="1" ht="15.75">
      <c r="A11" s="141" t="s">
        <v>471</v>
      </c>
      <c r="B11" s="142" t="s">
        <v>810</v>
      </c>
      <c r="C11" s="2"/>
      <c r="D11" s="2"/>
      <c r="E11" s="2"/>
      <c r="F11" s="159"/>
      <c r="G11" s="9"/>
      <c r="H11" s="9"/>
      <c r="I11" s="9"/>
      <c r="J11" s="9"/>
      <c r="K11" s="9">
        <v>5000</v>
      </c>
      <c r="L11" s="9"/>
      <c r="M11" s="113"/>
    </row>
    <row r="12" spans="1:17" s="8" customFormat="1" ht="31.5">
      <c r="A12" s="141" t="s">
        <v>472</v>
      </c>
      <c r="B12" s="142" t="s">
        <v>811</v>
      </c>
      <c r="C12" s="2"/>
      <c r="D12" s="2"/>
      <c r="E12" s="2"/>
      <c r="F12" s="159"/>
      <c r="G12" s="9"/>
      <c r="H12" s="9"/>
      <c r="I12" s="9"/>
      <c r="J12" s="9"/>
      <c r="K12" s="9">
        <v>1000</v>
      </c>
      <c r="L12" s="9"/>
      <c r="M12" s="113"/>
    </row>
    <row r="13" spans="1:17" s="8" customFormat="1" ht="15.75">
      <c r="A13" s="160" t="s">
        <v>477</v>
      </c>
      <c r="B13" s="161" t="s">
        <v>812</v>
      </c>
      <c r="C13" s="162"/>
      <c r="D13" s="163"/>
      <c r="E13" s="164"/>
      <c r="F13" s="165"/>
      <c r="G13" s="166">
        <f>SUBTOTAL(9,G14:G20)</f>
        <v>1179268</v>
      </c>
      <c r="H13" s="166">
        <f t="shared" ref="H13:K13" si="1">SUBTOTAL(9,H14:H20)</f>
        <v>329364</v>
      </c>
      <c r="I13" s="166">
        <f t="shared" si="1"/>
        <v>375858</v>
      </c>
      <c r="J13" s="166">
        <f t="shared" si="1"/>
        <v>86510</v>
      </c>
      <c r="K13" s="166">
        <f t="shared" si="1"/>
        <v>110000</v>
      </c>
      <c r="L13" s="38"/>
      <c r="M13" s="167"/>
      <c r="P13" s="166">
        <f t="shared" ref="P13:Q13" si="2">SUBTOTAL(9,P14:P20)</f>
        <v>485858</v>
      </c>
      <c r="Q13" s="166">
        <f t="shared" si="2"/>
        <v>196510</v>
      </c>
    </row>
    <row r="14" spans="1:17" s="49" customFormat="1" ht="69" customHeight="1">
      <c r="A14" s="168">
        <v>1</v>
      </c>
      <c r="B14" s="169" t="s">
        <v>88</v>
      </c>
      <c r="C14" s="4" t="s">
        <v>9</v>
      </c>
      <c r="D14" s="170">
        <v>2014</v>
      </c>
      <c r="E14" s="170">
        <v>2018</v>
      </c>
      <c r="F14" s="171" t="s">
        <v>89</v>
      </c>
      <c r="G14" s="172">
        <v>391940</v>
      </c>
      <c r="H14" s="172">
        <v>126940</v>
      </c>
      <c r="I14" s="172">
        <v>206858</v>
      </c>
      <c r="J14" s="172">
        <v>71510</v>
      </c>
      <c r="K14" s="172">
        <v>20000</v>
      </c>
      <c r="L14" s="11" t="s">
        <v>813</v>
      </c>
      <c r="M14" s="173"/>
      <c r="P14" s="172">
        <f t="shared" ref="P14:P77" si="3">I14+K14</f>
        <v>226858</v>
      </c>
      <c r="Q14" s="172">
        <f t="shared" ref="Q14:Q77" si="4">J14+K14</f>
        <v>91510</v>
      </c>
    </row>
    <row r="15" spans="1:17" s="49" customFormat="1" ht="31.5">
      <c r="A15" s="168">
        <v>2</v>
      </c>
      <c r="B15" s="169" t="s">
        <v>86</v>
      </c>
      <c r="C15" s="4" t="s">
        <v>9</v>
      </c>
      <c r="D15" s="170">
        <v>2015</v>
      </c>
      <c r="E15" s="170">
        <v>2019</v>
      </c>
      <c r="F15" s="174" t="s">
        <v>87</v>
      </c>
      <c r="G15" s="172">
        <v>220272</v>
      </c>
      <c r="H15" s="172">
        <v>100272</v>
      </c>
      <c r="I15" s="172">
        <v>70000</v>
      </c>
      <c r="J15" s="172">
        <v>15000</v>
      </c>
      <c r="K15" s="172">
        <v>20000</v>
      </c>
      <c r="L15" s="11" t="s">
        <v>814</v>
      </c>
      <c r="M15" s="173"/>
      <c r="P15" s="172">
        <f t="shared" si="3"/>
        <v>90000</v>
      </c>
      <c r="Q15" s="172">
        <f t="shared" si="4"/>
        <v>35000</v>
      </c>
    </row>
    <row r="16" spans="1:17" s="49" customFormat="1" ht="56.25" customHeight="1">
      <c r="A16" s="10">
        <v>3</v>
      </c>
      <c r="B16" s="54" t="s">
        <v>90</v>
      </c>
      <c r="C16" s="4" t="s">
        <v>17</v>
      </c>
      <c r="D16" s="170">
        <v>2015</v>
      </c>
      <c r="E16" s="170">
        <v>2019</v>
      </c>
      <c r="F16" s="174" t="s">
        <v>91</v>
      </c>
      <c r="G16" s="172">
        <v>80874</v>
      </c>
      <c r="H16" s="172">
        <v>30874</v>
      </c>
      <c r="I16" s="172">
        <v>45000</v>
      </c>
      <c r="J16" s="172">
        <v>0</v>
      </c>
      <c r="K16" s="172">
        <v>15000</v>
      </c>
      <c r="L16" s="11" t="s">
        <v>815</v>
      </c>
      <c r="M16" s="173"/>
      <c r="P16" s="172">
        <f t="shared" si="3"/>
        <v>60000</v>
      </c>
      <c r="Q16" s="172">
        <f t="shared" si="4"/>
        <v>15000</v>
      </c>
    </row>
    <row r="17" spans="1:56" s="49" customFormat="1" ht="57" customHeight="1">
      <c r="A17" s="10">
        <v>4</v>
      </c>
      <c r="B17" s="54" t="s">
        <v>92</v>
      </c>
      <c r="C17" s="4" t="s">
        <v>17</v>
      </c>
      <c r="D17" s="170">
        <v>2015</v>
      </c>
      <c r="E17" s="170">
        <v>2019</v>
      </c>
      <c r="F17" s="174" t="s">
        <v>93</v>
      </c>
      <c r="G17" s="172">
        <v>101278</v>
      </c>
      <c r="H17" s="172">
        <v>41278</v>
      </c>
      <c r="I17" s="172">
        <v>54000</v>
      </c>
      <c r="J17" s="172">
        <v>0</v>
      </c>
      <c r="K17" s="172">
        <v>15000</v>
      </c>
      <c r="L17" s="11" t="s">
        <v>588</v>
      </c>
      <c r="M17" s="173"/>
      <c r="P17" s="172">
        <f t="shared" si="3"/>
        <v>69000</v>
      </c>
      <c r="Q17" s="172">
        <f t="shared" si="4"/>
        <v>15000</v>
      </c>
    </row>
    <row r="18" spans="1:56" s="49" customFormat="1" ht="31.5">
      <c r="A18" s="10">
        <v>5</v>
      </c>
      <c r="B18" s="54" t="s">
        <v>555</v>
      </c>
      <c r="C18" s="4" t="s">
        <v>9</v>
      </c>
      <c r="D18" s="170">
        <v>2016</v>
      </c>
      <c r="E18" s="170">
        <v>2018</v>
      </c>
      <c r="F18" s="174" t="s">
        <v>94</v>
      </c>
      <c r="G18" s="172">
        <v>106904</v>
      </c>
      <c r="H18" s="172">
        <v>15000</v>
      </c>
      <c r="I18" s="172"/>
      <c r="J18" s="172">
        <v>0</v>
      </c>
      <c r="K18" s="172">
        <v>15000</v>
      </c>
      <c r="L18" s="11" t="s">
        <v>816</v>
      </c>
      <c r="M18" s="173"/>
      <c r="P18" s="172">
        <f t="shared" si="3"/>
        <v>15000</v>
      </c>
      <c r="Q18" s="172">
        <f t="shared" si="4"/>
        <v>15000</v>
      </c>
    </row>
    <row r="19" spans="1:56" s="49" customFormat="1" ht="31.5">
      <c r="A19" s="10">
        <v>6</v>
      </c>
      <c r="B19" s="54" t="s">
        <v>726</v>
      </c>
      <c r="C19" s="4" t="s">
        <v>9</v>
      </c>
      <c r="D19" s="170">
        <v>2016</v>
      </c>
      <c r="E19" s="170">
        <v>2018</v>
      </c>
      <c r="F19" s="174" t="s">
        <v>95</v>
      </c>
      <c r="G19" s="172">
        <v>150000</v>
      </c>
      <c r="H19" s="172">
        <v>15000</v>
      </c>
      <c r="I19" s="172"/>
      <c r="J19" s="172">
        <v>0</v>
      </c>
      <c r="K19" s="172">
        <v>15000</v>
      </c>
      <c r="L19" s="11" t="s">
        <v>817</v>
      </c>
      <c r="M19" s="173"/>
      <c r="P19" s="172">
        <f t="shared" si="3"/>
        <v>15000</v>
      </c>
      <c r="Q19" s="172">
        <f t="shared" si="4"/>
        <v>15000</v>
      </c>
    </row>
    <row r="20" spans="1:56" s="49" customFormat="1" ht="47.25">
      <c r="A20" s="10">
        <v>7</v>
      </c>
      <c r="B20" s="33" t="s">
        <v>774</v>
      </c>
      <c r="C20" s="4" t="s">
        <v>9</v>
      </c>
      <c r="D20" s="170">
        <v>2016</v>
      </c>
      <c r="E20" s="170">
        <v>2018</v>
      </c>
      <c r="F20" s="174" t="s">
        <v>818</v>
      </c>
      <c r="G20" s="172">
        <v>128000</v>
      </c>
      <c r="H20" s="172">
        <v>0</v>
      </c>
      <c r="I20" s="172"/>
      <c r="J20" s="172">
        <v>0</v>
      </c>
      <c r="K20" s="172">
        <v>10000</v>
      </c>
      <c r="L20" s="11" t="s">
        <v>819</v>
      </c>
      <c r="M20" s="173"/>
      <c r="P20" s="172">
        <f t="shared" si="3"/>
        <v>10000</v>
      </c>
      <c r="Q20" s="172">
        <f t="shared" si="4"/>
        <v>10000</v>
      </c>
    </row>
    <row r="21" spans="1:56" s="8" customFormat="1" ht="15.75">
      <c r="A21" s="141" t="s">
        <v>562</v>
      </c>
      <c r="B21" s="142" t="s">
        <v>820</v>
      </c>
      <c r="C21" s="2"/>
      <c r="D21" s="2"/>
      <c r="E21" s="2"/>
      <c r="F21" s="159"/>
      <c r="G21" s="112">
        <f>SUBTOTAL(9,G22:G31)</f>
        <v>44348.222222222219</v>
      </c>
      <c r="H21" s="112">
        <f t="shared" ref="H21:K21" si="5">SUBTOTAL(9,H22:H31)</f>
        <v>41048.222222222219</v>
      </c>
      <c r="I21" s="112">
        <f t="shared" si="5"/>
        <v>2797</v>
      </c>
      <c r="J21" s="112">
        <f t="shared" si="5"/>
        <v>2797</v>
      </c>
      <c r="K21" s="112">
        <f t="shared" si="5"/>
        <v>21558</v>
      </c>
      <c r="L21" s="9"/>
      <c r="M21" s="113"/>
      <c r="P21" s="172">
        <f t="shared" si="3"/>
        <v>24355</v>
      </c>
      <c r="Q21" s="172">
        <f t="shared" si="4"/>
        <v>24355</v>
      </c>
    </row>
    <row r="22" spans="1:56" s="183" customFormat="1" ht="15.75">
      <c r="A22" s="175" t="s">
        <v>821</v>
      </c>
      <c r="B22" s="176" t="s">
        <v>523</v>
      </c>
      <c r="C22" s="177"/>
      <c r="D22" s="178"/>
      <c r="E22" s="178"/>
      <c r="F22" s="179"/>
      <c r="G22" s="180"/>
      <c r="H22" s="180"/>
      <c r="I22" s="180"/>
      <c r="J22" s="180"/>
      <c r="K22" s="180"/>
      <c r="L22" s="181"/>
      <c r="M22" s="182"/>
      <c r="P22" s="172">
        <f t="shared" si="3"/>
        <v>0</v>
      </c>
      <c r="Q22" s="172">
        <f t="shared" si="4"/>
        <v>0</v>
      </c>
    </row>
    <row r="23" spans="1:56" s="78" customFormat="1" ht="47.25">
      <c r="A23" s="168">
        <v>1</v>
      </c>
      <c r="B23" s="184" t="s">
        <v>822</v>
      </c>
      <c r="C23" s="4" t="s">
        <v>355</v>
      </c>
      <c r="D23" s="170">
        <v>2017</v>
      </c>
      <c r="E23" s="170">
        <v>2019</v>
      </c>
      <c r="F23" s="185" t="s">
        <v>775</v>
      </c>
      <c r="G23" s="172">
        <v>5930</v>
      </c>
      <c r="H23" s="172">
        <v>5930</v>
      </c>
      <c r="I23" s="186">
        <v>1400</v>
      </c>
      <c r="J23" s="186">
        <v>1400</v>
      </c>
      <c r="K23" s="172">
        <v>3937</v>
      </c>
      <c r="L23" s="11" t="s">
        <v>800</v>
      </c>
      <c r="M23" s="173"/>
      <c r="N23" s="187"/>
      <c r="O23" s="188"/>
      <c r="P23" s="172">
        <f t="shared" si="3"/>
        <v>5337</v>
      </c>
      <c r="Q23" s="172">
        <f t="shared" si="4"/>
        <v>5337</v>
      </c>
      <c r="R23" s="189"/>
      <c r="S23" s="189"/>
      <c r="T23" s="189"/>
      <c r="U23" s="190"/>
      <c r="V23" s="190"/>
      <c r="W23" s="191"/>
      <c r="X23" s="192">
        <v>1</v>
      </c>
      <c r="Y23" s="193" t="s">
        <v>823</v>
      </c>
      <c r="Z23" s="187"/>
      <c r="AA23" s="187"/>
      <c r="AB23" s="194"/>
      <c r="AC23" s="187"/>
      <c r="AD23" s="187"/>
      <c r="AE23" s="188"/>
      <c r="AF23" s="189"/>
      <c r="AG23" s="189"/>
      <c r="AH23" s="189"/>
      <c r="AI23" s="189"/>
      <c r="AJ23" s="189"/>
      <c r="AK23" s="190"/>
      <c r="AL23" s="190"/>
      <c r="AM23" s="191"/>
      <c r="AN23" s="192">
        <v>1</v>
      </c>
      <c r="AO23" s="193" t="s">
        <v>823</v>
      </c>
      <c r="AP23" s="187"/>
      <c r="AQ23" s="187"/>
      <c r="AR23" s="194"/>
      <c r="AS23" s="187"/>
      <c r="AT23" s="187"/>
      <c r="AU23" s="188"/>
      <c r="AV23" s="189"/>
      <c r="AW23" s="189"/>
      <c r="AX23" s="189"/>
      <c r="AY23" s="189"/>
      <c r="AZ23" s="189"/>
      <c r="BA23" s="190"/>
      <c r="BB23" s="190"/>
      <c r="BC23" s="191"/>
      <c r="BD23" s="192">
        <v>1</v>
      </c>
    </row>
    <row r="24" spans="1:56" s="78" customFormat="1" ht="51" customHeight="1">
      <c r="A24" s="168">
        <v>2</v>
      </c>
      <c r="B24" s="195" t="s">
        <v>12</v>
      </c>
      <c r="C24" s="4" t="s">
        <v>9</v>
      </c>
      <c r="D24" s="170">
        <v>2017</v>
      </c>
      <c r="E24" s="170">
        <v>2019</v>
      </c>
      <c r="F24" s="185" t="s">
        <v>776</v>
      </c>
      <c r="G24" s="196">
        <v>5527</v>
      </c>
      <c r="H24" s="196">
        <v>5527</v>
      </c>
      <c r="I24" s="197">
        <v>1207</v>
      </c>
      <c r="J24" s="197">
        <v>1207</v>
      </c>
      <c r="K24" s="197">
        <v>3767</v>
      </c>
      <c r="L24" s="139" t="s">
        <v>824</v>
      </c>
      <c r="M24" s="198"/>
      <c r="P24" s="172">
        <f t="shared" si="3"/>
        <v>4974</v>
      </c>
      <c r="Q24" s="172">
        <f t="shared" si="4"/>
        <v>4974</v>
      </c>
    </row>
    <row r="25" spans="1:56" s="202" customFormat="1" ht="15.75">
      <c r="A25" s="175" t="s">
        <v>825</v>
      </c>
      <c r="B25" s="199" t="s">
        <v>593</v>
      </c>
      <c r="C25" s="177"/>
      <c r="D25" s="178"/>
      <c r="E25" s="178"/>
      <c r="F25" s="200"/>
      <c r="G25" s="180"/>
      <c r="H25" s="180"/>
      <c r="I25" s="180"/>
      <c r="J25" s="180"/>
      <c r="K25" s="180"/>
      <c r="L25" s="104"/>
      <c r="M25" s="201"/>
      <c r="P25" s="172">
        <f t="shared" si="3"/>
        <v>0</v>
      </c>
      <c r="Q25" s="172">
        <f t="shared" si="4"/>
        <v>0</v>
      </c>
    </row>
    <row r="26" spans="1:56" s="202" customFormat="1" ht="31.5">
      <c r="A26" s="10">
        <v>1</v>
      </c>
      <c r="B26" s="55" t="s">
        <v>826</v>
      </c>
      <c r="C26" s="2" t="s">
        <v>10</v>
      </c>
      <c r="D26" s="3">
        <v>2018</v>
      </c>
      <c r="E26" s="3">
        <v>2020</v>
      </c>
      <c r="F26" s="203" t="s">
        <v>731</v>
      </c>
      <c r="G26" s="204">
        <v>1750</v>
      </c>
      <c r="H26" s="204">
        <v>1750</v>
      </c>
      <c r="I26" s="204">
        <v>30</v>
      </c>
      <c r="J26" s="204">
        <v>30</v>
      </c>
      <c r="K26" s="204">
        <v>1575</v>
      </c>
      <c r="L26" s="11" t="s">
        <v>827</v>
      </c>
      <c r="M26" s="173"/>
      <c r="P26" s="172">
        <f t="shared" si="3"/>
        <v>1605</v>
      </c>
      <c r="Q26" s="172">
        <f t="shared" si="4"/>
        <v>1605</v>
      </c>
    </row>
    <row r="27" spans="1:56" s="78" customFormat="1" ht="31.5">
      <c r="A27" s="10">
        <v>2</v>
      </c>
      <c r="B27" s="80" t="s">
        <v>491</v>
      </c>
      <c r="C27" s="2" t="s">
        <v>9</v>
      </c>
      <c r="D27" s="3">
        <v>2018</v>
      </c>
      <c r="E27" s="3">
        <v>2020</v>
      </c>
      <c r="F27" s="185" t="s">
        <v>778</v>
      </c>
      <c r="G27" s="172">
        <v>2822</v>
      </c>
      <c r="H27" s="172">
        <v>2822</v>
      </c>
      <c r="I27" s="205">
        <v>0</v>
      </c>
      <c r="J27" s="205">
        <v>0</v>
      </c>
      <c r="K27" s="172">
        <v>1270</v>
      </c>
      <c r="L27" s="11" t="s">
        <v>800</v>
      </c>
      <c r="M27" s="173"/>
      <c r="N27" s="187"/>
      <c r="O27" s="188"/>
      <c r="P27" s="172">
        <f t="shared" si="3"/>
        <v>1270</v>
      </c>
      <c r="Q27" s="172">
        <f t="shared" si="4"/>
        <v>1270</v>
      </c>
      <c r="R27" s="189"/>
      <c r="S27" s="189"/>
      <c r="T27" s="189"/>
      <c r="U27" s="190"/>
      <c r="V27" s="190"/>
      <c r="W27" s="191"/>
      <c r="X27" s="192"/>
      <c r="Y27" s="193"/>
      <c r="Z27" s="187"/>
      <c r="AA27" s="187"/>
      <c r="AB27" s="194"/>
      <c r="AC27" s="187"/>
      <c r="AD27" s="187"/>
      <c r="AE27" s="188"/>
      <c r="AF27" s="189"/>
      <c r="AG27" s="189"/>
      <c r="AH27" s="189"/>
      <c r="AI27" s="189"/>
      <c r="AJ27" s="189"/>
      <c r="AK27" s="190"/>
      <c r="AL27" s="190"/>
      <c r="AM27" s="191"/>
      <c r="AN27" s="192"/>
      <c r="AO27" s="193"/>
      <c r="AP27" s="187"/>
      <c r="AQ27" s="187"/>
      <c r="AR27" s="194"/>
      <c r="AS27" s="187"/>
      <c r="AT27" s="187"/>
      <c r="AU27" s="188"/>
      <c r="AV27" s="189"/>
      <c r="AW27" s="189"/>
      <c r="AX27" s="189"/>
      <c r="AY27" s="189"/>
      <c r="AZ27" s="189"/>
      <c r="BA27" s="190"/>
      <c r="BB27" s="190"/>
      <c r="BC27" s="191"/>
      <c r="BD27" s="192"/>
    </row>
    <row r="28" spans="1:56" s="78" customFormat="1" ht="31.5">
      <c r="A28" s="10">
        <v>3</v>
      </c>
      <c r="B28" s="80" t="s">
        <v>15</v>
      </c>
      <c r="C28" s="2" t="s">
        <v>355</v>
      </c>
      <c r="D28" s="3">
        <v>2018</v>
      </c>
      <c r="E28" s="3">
        <v>2020</v>
      </c>
      <c r="F28" s="185" t="s">
        <v>828</v>
      </c>
      <c r="G28" s="196">
        <v>3150</v>
      </c>
      <c r="H28" s="196">
        <v>3150</v>
      </c>
      <c r="I28" s="197">
        <v>40</v>
      </c>
      <c r="J28" s="197">
        <v>40</v>
      </c>
      <c r="K28" s="197">
        <v>1418</v>
      </c>
      <c r="L28" s="139" t="s">
        <v>829</v>
      </c>
      <c r="M28" s="198"/>
      <c r="P28" s="172">
        <f t="shared" si="3"/>
        <v>1458</v>
      </c>
      <c r="Q28" s="172">
        <f t="shared" si="4"/>
        <v>1458</v>
      </c>
    </row>
    <row r="29" spans="1:56" s="78" customFormat="1" ht="31.5">
      <c r="A29" s="10">
        <v>4</v>
      </c>
      <c r="B29" s="80" t="s">
        <v>830</v>
      </c>
      <c r="C29" s="2" t="s">
        <v>355</v>
      </c>
      <c r="D29" s="3">
        <v>2018</v>
      </c>
      <c r="E29" s="3">
        <v>2020</v>
      </c>
      <c r="F29" s="185" t="s">
        <v>733</v>
      </c>
      <c r="G29" s="196">
        <v>9000</v>
      </c>
      <c r="H29" s="196">
        <v>5700</v>
      </c>
      <c r="I29" s="197">
        <v>60</v>
      </c>
      <c r="J29" s="197">
        <v>60</v>
      </c>
      <c r="K29" s="197">
        <v>2565</v>
      </c>
      <c r="L29" s="139" t="s">
        <v>831</v>
      </c>
      <c r="M29" s="198"/>
      <c r="P29" s="172">
        <f t="shared" si="3"/>
        <v>2625</v>
      </c>
      <c r="Q29" s="172">
        <f t="shared" si="4"/>
        <v>2625</v>
      </c>
    </row>
    <row r="30" spans="1:56" s="78" customFormat="1" ht="47.25">
      <c r="A30" s="10">
        <v>5</v>
      </c>
      <c r="B30" s="39" t="s">
        <v>832</v>
      </c>
      <c r="C30" s="2" t="s">
        <v>9</v>
      </c>
      <c r="D30" s="3">
        <v>2018</v>
      </c>
      <c r="E30" s="3">
        <v>2020</v>
      </c>
      <c r="F30" s="185" t="s">
        <v>745</v>
      </c>
      <c r="G30" s="196">
        <v>5934</v>
      </c>
      <c r="H30" s="196">
        <v>5934</v>
      </c>
      <c r="I30" s="180">
        <v>0</v>
      </c>
      <c r="J30" s="180">
        <v>0</v>
      </c>
      <c r="K30" s="197">
        <v>2670</v>
      </c>
      <c r="L30" s="139" t="s">
        <v>813</v>
      </c>
      <c r="M30" s="198"/>
      <c r="P30" s="172">
        <f t="shared" si="3"/>
        <v>2670</v>
      </c>
      <c r="Q30" s="172">
        <f t="shared" si="4"/>
        <v>2670</v>
      </c>
    </row>
    <row r="31" spans="1:56" s="78" customFormat="1" ht="39" customHeight="1">
      <c r="A31" s="10">
        <v>6</v>
      </c>
      <c r="B31" s="39" t="s">
        <v>833</v>
      </c>
      <c r="C31" s="2" t="s">
        <v>355</v>
      </c>
      <c r="D31" s="3">
        <v>2018</v>
      </c>
      <c r="E31" s="3">
        <v>2020</v>
      </c>
      <c r="F31" s="185" t="s">
        <v>734</v>
      </c>
      <c r="G31" s="196">
        <v>10235.222222222223</v>
      </c>
      <c r="H31" s="196">
        <v>10235.222222222223</v>
      </c>
      <c r="I31" s="197">
        <v>60</v>
      </c>
      <c r="J31" s="197">
        <v>60</v>
      </c>
      <c r="K31" s="197">
        <v>4356</v>
      </c>
      <c r="L31" s="139" t="s">
        <v>831</v>
      </c>
      <c r="M31" s="198"/>
      <c r="N31" s="206"/>
      <c r="P31" s="172">
        <f t="shared" si="3"/>
        <v>4416</v>
      </c>
      <c r="Q31" s="172">
        <f t="shared" si="4"/>
        <v>4416</v>
      </c>
    </row>
    <row r="32" spans="1:56" s="79" customFormat="1" ht="15.75">
      <c r="A32" s="19" t="s">
        <v>564</v>
      </c>
      <c r="B32" s="30" t="s">
        <v>834</v>
      </c>
      <c r="C32" s="207"/>
      <c r="D32" s="21"/>
      <c r="E32" s="21"/>
      <c r="F32" s="208"/>
      <c r="G32" s="9">
        <f>SUBTOTAL(109,G33:G129)</f>
        <v>379019.30000000005</v>
      </c>
      <c r="H32" s="9">
        <f t="shared" ref="H32:K32" si="6">SUBTOTAL(109,H33:H129)</f>
        <v>370651.30000000005</v>
      </c>
      <c r="I32" s="9">
        <f t="shared" si="6"/>
        <v>97887</v>
      </c>
      <c r="J32" s="9">
        <f t="shared" si="6"/>
        <v>96687</v>
      </c>
      <c r="K32" s="9">
        <f t="shared" si="6"/>
        <v>110123.8</v>
      </c>
      <c r="L32" s="209"/>
      <c r="M32" s="210"/>
      <c r="N32" s="211"/>
      <c r="P32" s="172">
        <f t="shared" si="3"/>
        <v>208010.8</v>
      </c>
      <c r="Q32" s="172">
        <f t="shared" si="4"/>
        <v>206810.8</v>
      </c>
    </row>
    <row r="33" spans="1:231" s="202" customFormat="1" ht="15.75">
      <c r="A33" s="175" t="s">
        <v>821</v>
      </c>
      <c r="B33" s="212" t="s">
        <v>698</v>
      </c>
      <c r="C33" s="213"/>
      <c r="D33" s="178"/>
      <c r="E33" s="178"/>
      <c r="F33" s="214"/>
      <c r="G33" s="215"/>
      <c r="H33" s="215"/>
      <c r="I33" s="215"/>
      <c r="J33" s="215"/>
      <c r="K33" s="215"/>
      <c r="L33" s="137"/>
      <c r="M33" s="216"/>
      <c r="N33" s="217"/>
      <c r="P33" s="172">
        <f t="shared" si="3"/>
        <v>0</v>
      </c>
      <c r="Q33" s="172">
        <f t="shared" si="4"/>
        <v>0</v>
      </c>
    </row>
    <row r="34" spans="1:231" s="223" customFormat="1" ht="31.5">
      <c r="A34" s="10">
        <v>1</v>
      </c>
      <c r="B34" s="55" t="s">
        <v>228</v>
      </c>
      <c r="C34" s="218" t="s">
        <v>44</v>
      </c>
      <c r="D34" s="3">
        <v>2016</v>
      </c>
      <c r="E34" s="3">
        <v>2018</v>
      </c>
      <c r="F34" s="219" t="s">
        <v>229</v>
      </c>
      <c r="G34" s="220">
        <v>2578</v>
      </c>
      <c r="H34" s="220">
        <v>2578</v>
      </c>
      <c r="I34" s="220">
        <v>1815</v>
      </c>
      <c r="J34" s="220">
        <f t="shared" ref="J34:J47" si="7">I34</f>
        <v>1815</v>
      </c>
      <c r="K34" s="204">
        <v>505</v>
      </c>
      <c r="L34" s="36" t="s">
        <v>835</v>
      </c>
      <c r="M34" s="221"/>
      <c r="N34" s="222"/>
      <c r="O34" s="222"/>
      <c r="P34" s="172">
        <f t="shared" si="3"/>
        <v>2320</v>
      </c>
      <c r="Q34" s="172">
        <f t="shared" si="4"/>
        <v>2320</v>
      </c>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2"/>
      <c r="BQ34" s="222"/>
      <c r="BR34" s="222"/>
      <c r="BS34" s="222"/>
      <c r="BT34" s="222"/>
      <c r="BU34" s="222"/>
      <c r="BV34" s="222"/>
      <c r="BW34" s="222"/>
      <c r="BX34" s="222"/>
      <c r="BY34" s="222"/>
      <c r="BZ34" s="222"/>
      <c r="CA34" s="222"/>
      <c r="CB34" s="222"/>
      <c r="CC34" s="222"/>
      <c r="CD34" s="222"/>
      <c r="CE34" s="222"/>
      <c r="CF34" s="222"/>
      <c r="CG34" s="222"/>
      <c r="CH34" s="222"/>
      <c r="CI34" s="222"/>
      <c r="CJ34" s="222"/>
      <c r="CK34" s="222"/>
      <c r="CL34" s="222"/>
      <c r="CM34" s="222"/>
      <c r="CN34" s="222"/>
      <c r="CO34" s="222"/>
      <c r="CP34" s="222"/>
      <c r="CQ34" s="222"/>
      <c r="CR34" s="222"/>
      <c r="CS34" s="222"/>
      <c r="CT34" s="222"/>
      <c r="CU34" s="222"/>
      <c r="CV34" s="222"/>
      <c r="CW34" s="222"/>
      <c r="CX34" s="222"/>
      <c r="CY34" s="222"/>
      <c r="CZ34" s="222"/>
      <c r="DA34" s="222"/>
      <c r="DB34" s="222"/>
      <c r="DC34" s="222"/>
      <c r="DD34" s="222"/>
      <c r="DE34" s="222"/>
      <c r="DF34" s="222"/>
      <c r="DG34" s="222"/>
      <c r="DH34" s="222"/>
      <c r="DI34" s="222"/>
      <c r="DJ34" s="222"/>
      <c r="DK34" s="222"/>
      <c r="DL34" s="222"/>
      <c r="DM34" s="222"/>
      <c r="DN34" s="222"/>
      <c r="DO34" s="222"/>
      <c r="DP34" s="222"/>
      <c r="DQ34" s="222"/>
      <c r="DR34" s="222"/>
      <c r="DS34" s="222"/>
      <c r="DT34" s="222"/>
      <c r="DU34" s="222"/>
      <c r="DV34" s="222"/>
      <c r="DW34" s="222"/>
      <c r="DX34" s="222"/>
      <c r="DY34" s="222"/>
      <c r="DZ34" s="222"/>
      <c r="EA34" s="222"/>
      <c r="EB34" s="222"/>
      <c r="EC34" s="222"/>
      <c r="ED34" s="222"/>
      <c r="EE34" s="222"/>
      <c r="EF34" s="222"/>
      <c r="EG34" s="222"/>
      <c r="EH34" s="222"/>
      <c r="EI34" s="222"/>
      <c r="EJ34" s="222"/>
      <c r="EK34" s="222"/>
      <c r="EL34" s="222"/>
      <c r="EM34" s="222"/>
      <c r="EN34" s="222"/>
      <c r="EO34" s="222"/>
      <c r="EP34" s="222"/>
      <c r="EQ34" s="222"/>
      <c r="ER34" s="222"/>
      <c r="ES34" s="222"/>
      <c r="ET34" s="222"/>
      <c r="EU34" s="222"/>
      <c r="EV34" s="222"/>
      <c r="EW34" s="222"/>
      <c r="EX34" s="222"/>
      <c r="EY34" s="222"/>
      <c r="EZ34" s="222"/>
      <c r="FA34" s="222"/>
      <c r="FB34" s="222"/>
      <c r="FC34" s="222"/>
      <c r="FD34" s="222"/>
      <c r="FE34" s="222"/>
      <c r="FF34" s="222"/>
      <c r="FG34" s="222"/>
      <c r="FH34" s="222"/>
      <c r="FI34" s="222"/>
      <c r="FJ34" s="222"/>
      <c r="FK34" s="222"/>
      <c r="FL34" s="222"/>
      <c r="FM34" s="222"/>
      <c r="FN34" s="222"/>
      <c r="FO34" s="222"/>
      <c r="FP34" s="222"/>
      <c r="FQ34" s="222"/>
      <c r="FR34" s="222"/>
      <c r="FS34" s="222"/>
      <c r="FT34" s="222"/>
      <c r="FU34" s="222"/>
      <c r="FV34" s="222"/>
      <c r="FW34" s="222"/>
      <c r="FX34" s="222"/>
      <c r="FY34" s="222"/>
      <c r="FZ34" s="222"/>
      <c r="GA34" s="222"/>
      <c r="GB34" s="222"/>
      <c r="GC34" s="222"/>
      <c r="GD34" s="222"/>
      <c r="GE34" s="222"/>
      <c r="GF34" s="222"/>
      <c r="GG34" s="222"/>
      <c r="GH34" s="222"/>
      <c r="GI34" s="222"/>
      <c r="GJ34" s="222"/>
      <c r="GK34" s="222"/>
      <c r="GL34" s="222"/>
      <c r="GM34" s="222"/>
      <c r="GN34" s="222"/>
      <c r="GO34" s="222"/>
      <c r="GP34" s="222"/>
      <c r="GQ34" s="222"/>
      <c r="GR34" s="222"/>
      <c r="GS34" s="222"/>
      <c r="GT34" s="222"/>
      <c r="GU34" s="222"/>
      <c r="GV34" s="222"/>
      <c r="GW34" s="222"/>
      <c r="GX34" s="222"/>
      <c r="GY34" s="222"/>
      <c r="GZ34" s="222"/>
      <c r="HA34" s="222"/>
      <c r="HB34" s="222"/>
      <c r="HC34" s="222"/>
      <c r="HD34" s="222"/>
      <c r="HE34" s="222"/>
      <c r="HF34" s="222"/>
      <c r="HG34" s="222"/>
      <c r="HH34" s="222"/>
      <c r="HI34" s="222"/>
      <c r="HJ34" s="222"/>
      <c r="HK34" s="222"/>
      <c r="HL34" s="222"/>
      <c r="HM34" s="222"/>
      <c r="HN34" s="222"/>
      <c r="HO34" s="222"/>
      <c r="HP34" s="222"/>
      <c r="HQ34" s="222"/>
      <c r="HR34" s="222"/>
      <c r="HS34" s="222"/>
      <c r="HT34" s="222"/>
      <c r="HU34" s="222"/>
      <c r="HV34" s="222"/>
      <c r="HW34" s="222"/>
    </row>
    <row r="35" spans="1:231" s="225" customFormat="1" ht="25.5">
      <c r="A35" s="10">
        <v>2</v>
      </c>
      <c r="B35" s="62" t="s">
        <v>404</v>
      </c>
      <c r="C35" s="218" t="s">
        <v>49</v>
      </c>
      <c r="D35" s="3">
        <v>2016</v>
      </c>
      <c r="E35" s="3">
        <v>2018</v>
      </c>
      <c r="F35" s="224" t="s">
        <v>170</v>
      </c>
      <c r="G35" s="35">
        <v>2816</v>
      </c>
      <c r="H35" s="35">
        <v>2816</v>
      </c>
      <c r="I35" s="220">
        <v>1950</v>
      </c>
      <c r="J35" s="220">
        <f t="shared" si="7"/>
        <v>1950</v>
      </c>
      <c r="K35" s="204">
        <v>584</v>
      </c>
      <c r="L35" s="36" t="s">
        <v>836</v>
      </c>
      <c r="M35" s="221"/>
      <c r="N35" s="222"/>
      <c r="O35" s="222"/>
      <c r="P35" s="172">
        <f t="shared" si="3"/>
        <v>2534</v>
      </c>
      <c r="Q35" s="172">
        <f t="shared" si="4"/>
        <v>2534</v>
      </c>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222"/>
      <c r="BB35" s="222"/>
      <c r="BC35" s="222"/>
      <c r="BD35" s="222"/>
      <c r="BE35" s="222"/>
      <c r="BF35" s="222"/>
      <c r="BG35" s="222"/>
      <c r="BH35" s="222"/>
      <c r="BI35" s="222"/>
      <c r="BJ35" s="222"/>
      <c r="BK35" s="222"/>
      <c r="BL35" s="222"/>
      <c r="BM35" s="222"/>
      <c r="BN35" s="222"/>
      <c r="BO35" s="222"/>
      <c r="BP35" s="222"/>
      <c r="BQ35" s="222"/>
      <c r="BR35" s="222"/>
      <c r="BS35" s="222"/>
      <c r="BT35" s="222"/>
      <c r="BU35" s="222"/>
      <c r="BV35" s="222"/>
      <c r="BW35" s="222"/>
      <c r="BX35" s="222"/>
      <c r="BY35" s="222"/>
      <c r="BZ35" s="222"/>
      <c r="CA35" s="222"/>
      <c r="CB35" s="222"/>
      <c r="CC35" s="222"/>
      <c r="CD35" s="222"/>
      <c r="CE35" s="222"/>
      <c r="CF35" s="222"/>
      <c r="CG35" s="222"/>
      <c r="CH35" s="222"/>
      <c r="CI35" s="222"/>
      <c r="CJ35" s="222"/>
      <c r="CK35" s="222"/>
      <c r="CL35" s="222"/>
      <c r="CM35" s="222"/>
      <c r="CN35" s="222"/>
      <c r="CO35" s="222"/>
      <c r="CP35" s="222"/>
      <c r="CQ35" s="222"/>
      <c r="CR35" s="222"/>
      <c r="CS35" s="222"/>
      <c r="CT35" s="222"/>
      <c r="CU35" s="222"/>
      <c r="CV35" s="222"/>
      <c r="CW35" s="222"/>
      <c r="CX35" s="222"/>
      <c r="CY35" s="222"/>
      <c r="CZ35" s="222"/>
      <c r="DA35" s="222"/>
      <c r="DB35" s="222"/>
      <c r="DC35" s="222"/>
      <c r="DD35" s="222"/>
      <c r="DE35" s="222"/>
      <c r="DF35" s="222"/>
      <c r="DG35" s="222"/>
      <c r="DH35" s="222"/>
      <c r="DI35" s="222"/>
      <c r="DJ35" s="222"/>
      <c r="DK35" s="222"/>
      <c r="DL35" s="222"/>
      <c r="DM35" s="222"/>
      <c r="DN35" s="222"/>
      <c r="DO35" s="222"/>
      <c r="DP35" s="222"/>
      <c r="DQ35" s="222"/>
      <c r="DR35" s="222"/>
      <c r="DS35" s="222"/>
      <c r="DT35" s="222"/>
      <c r="DU35" s="222"/>
      <c r="DV35" s="222"/>
      <c r="DW35" s="222"/>
      <c r="DX35" s="222"/>
      <c r="DY35" s="222"/>
      <c r="DZ35" s="222"/>
      <c r="EA35" s="222"/>
      <c r="EB35" s="222"/>
      <c r="EC35" s="222"/>
      <c r="ED35" s="222"/>
      <c r="EE35" s="222"/>
      <c r="EF35" s="222"/>
      <c r="EG35" s="222"/>
      <c r="EH35" s="222"/>
      <c r="EI35" s="222"/>
      <c r="EJ35" s="222"/>
      <c r="EK35" s="222"/>
      <c r="EL35" s="222"/>
      <c r="EM35" s="222"/>
      <c r="EN35" s="222"/>
      <c r="EO35" s="222"/>
      <c r="EP35" s="222"/>
      <c r="EQ35" s="222"/>
      <c r="ER35" s="222"/>
      <c r="ES35" s="222"/>
      <c r="ET35" s="222"/>
      <c r="EU35" s="222"/>
      <c r="EV35" s="222"/>
      <c r="EW35" s="222"/>
      <c r="EX35" s="222"/>
      <c r="EY35" s="222"/>
      <c r="EZ35" s="222"/>
      <c r="FA35" s="222"/>
      <c r="FB35" s="222"/>
      <c r="FC35" s="222"/>
      <c r="FD35" s="222"/>
      <c r="FE35" s="222"/>
      <c r="FF35" s="222"/>
      <c r="FG35" s="222"/>
      <c r="FH35" s="222"/>
      <c r="FI35" s="222"/>
      <c r="FJ35" s="222"/>
      <c r="FK35" s="222"/>
      <c r="FL35" s="222"/>
      <c r="FM35" s="222"/>
      <c r="FN35" s="222"/>
      <c r="FO35" s="222"/>
      <c r="FP35" s="222"/>
      <c r="FQ35" s="222"/>
      <c r="FR35" s="222"/>
      <c r="FS35" s="222"/>
      <c r="FT35" s="222"/>
      <c r="FU35" s="222"/>
      <c r="FV35" s="222"/>
      <c r="FW35" s="222"/>
      <c r="FX35" s="222"/>
      <c r="FY35" s="222"/>
      <c r="FZ35" s="222"/>
      <c r="GA35" s="222"/>
      <c r="GB35" s="222"/>
      <c r="GC35" s="222"/>
      <c r="GD35" s="222"/>
      <c r="GE35" s="222"/>
      <c r="GF35" s="222"/>
      <c r="GG35" s="222"/>
      <c r="GH35" s="222"/>
      <c r="GI35" s="222"/>
      <c r="GJ35" s="222"/>
      <c r="GK35" s="222"/>
      <c r="GL35" s="222"/>
      <c r="GM35" s="222"/>
      <c r="GN35" s="222"/>
      <c r="GO35" s="222"/>
      <c r="GP35" s="222"/>
      <c r="GQ35" s="222"/>
      <c r="GR35" s="222"/>
      <c r="GS35" s="222"/>
      <c r="GT35" s="222"/>
      <c r="GU35" s="222"/>
      <c r="GV35" s="222"/>
      <c r="GW35" s="222"/>
      <c r="GX35" s="222"/>
      <c r="GY35" s="222"/>
      <c r="GZ35" s="222"/>
      <c r="HA35" s="222"/>
      <c r="HB35" s="222"/>
      <c r="HC35" s="222"/>
      <c r="HD35" s="222"/>
      <c r="HE35" s="222"/>
      <c r="HF35" s="222"/>
      <c r="HG35" s="222"/>
      <c r="HH35" s="222"/>
      <c r="HI35" s="222"/>
      <c r="HJ35" s="222"/>
      <c r="HK35" s="222"/>
      <c r="HL35" s="222"/>
      <c r="HM35" s="222"/>
      <c r="HN35" s="222"/>
      <c r="HO35" s="222"/>
      <c r="HP35" s="222"/>
      <c r="HQ35" s="222"/>
      <c r="HR35" s="222"/>
      <c r="HS35" s="222"/>
      <c r="HT35" s="222"/>
      <c r="HU35" s="222"/>
      <c r="HV35" s="222"/>
      <c r="HW35" s="222"/>
    </row>
    <row r="36" spans="1:231" s="223" customFormat="1" ht="51">
      <c r="A36" s="10">
        <v>3</v>
      </c>
      <c r="B36" s="62" t="s">
        <v>837</v>
      </c>
      <c r="C36" s="2" t="s">
        <v>33</v>
      </c>
      <c r="D36" s="3">
        <v>2016</v>
      </c>
      <c r="E36" s="3">
        <v>2018</v>
      </c>
      <c r="F36" s="224" t="s">
        <v>193</v>
      </c>
      <c r="G36" s="35">
        <v>3000</v>
      </c>
      <c r="H36" s="35">
        <v>3000</v>
      </c>
      <c r="I36" s="35">
        <v>1980</v>
      </c>
      <c r="J36" s="35">
        <f t="shared" si="7"/>
        <v>1980</v>
      </c>
      <c r="K36" s="204">
        <v>720</v>
      </c>
      <c r="L36" s="11" t="s">
        <v>838</v>
      </c>
      <c r="M36" s="173"/>
      <c r="N36" s="226" t="s">
        <v>839</v>
      </c>
      <c r="O36" s="222"/>
      <c r="P36" s="172">
        <f t="shared" si="3"/>
        <v>2700</v>
      </c>
      <c r="Q36" s="172">
        <f t="shared" si="4"/>
        <v>2700</v>
      </c>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2"/>
      <c r="BR36" s="222"/>
      <c r="BS36" s="222"/>
      <c r="BT36" s="222"/>
      <c r="BU36" s="222"/>
      <c r="BV36" s="222"/>
      <c r="BW36" s="222"/>
      <c r="BX36" s="222"/>
      <c r="BY36" s="222"/>
      <c r="BZ36" s="222"/>
      <c r="CA36" s="222"/>
      <c r="CB36" s="222"/>
      <c r="CC36" s="222"/>
      <c r="CD36" s="222"/>
      <c r="CE36" s="222"/>
      <c r="CF36" s="222"/>
      <c r="CG36" s="222"/>
      <c r="CH36" s="222"/>
      <c r="CI36" s="222"/>
      <c r="CJ36" s="222"/>
      <c r="CK36" s="222"/>
      <c r="CL36" s="222"/>
      <c r="CM36" s="222"/>
      <c r="CN36" s="222"/>
      <c r="CO36" s="222"/>
      <c r="CP36" s="222"/>
      <c r="CQ36" s="222"/>
      <c r="CR36" s="222"/>
      <c r="CS36" s="222"/>
      <c r="CT36" s="222"/>
      <c r="CU36" s="222"/>
      <c r="CV36" s="222"/>
      <c r="CW36" s="222"/>
      <c r="CX36" s="222"/>
      <c r="CY36" s="222"/>
      <c r="CZ36" s="222"/>
      <c r="DA36" s="222"/>
      <c r="DB36" s="222"/>
      <c r="DC36" s="222"/>
      <c r="DD36" s="222"/>
      <c r="DE36" s="222"/>
      <c r="DF36" s="222"/>
      <c r="DG36" s="222"/>
      <c r="DH36" s="222"/>
      <c r="DI36" s="222"/>
      <c r="DJ36" s="222"/>
      <c r="DK36" s="222"/>
      <c r="DL36" s="222"/>
      <c r="DM36" s="222"/>
      <c r="DN36" s="222"/>
      <c r="DO36" s="222"/>
      <c r="DP36" s="222"/>
      <c r="DQ36" s="222"/>
      <c r="DR36" s="222"/>
      <c r="DS36" s="222"/>
      <c r="DT36" s="222"/>
      <c r="DU36" s="222"/>
      <c r="DV36" s="222"/>
      <c r="DW36" s="222"/>
      <c r="DX36" s="222"/>
      <c r="DY36" s="222"/>
      <c r="DZ36" s="222"/>
      <c r="EA36" s="222"/>
      <c r="EB36" s="222"/>
      <c r="EC36" s="222"/>
      <c r="ED36" s="222"/>
      <c r="EE36" s="222"/>
      <c r="EF36" s="222"/>
      <c r="EG36" s="222"/>
      <c r="EH36" s="222"/>
      <c r="EI36" s="222"/>
      <c r="EJ36" s="222"/>
      <c r="EK36" s="222"/>
      <c r="EL36" s="222"/>
      <c r="EM36" s="222"/>
      <c r="EN36" s="222"/>
      <c r="EO36" s="222"/>
      <c r="EP36" s="222"/>
      <c r="EQ36" s="222"/>
      <c r="ER36" s="222"/>
      <c r="ES36" s="222"/>
      <c r="ET36" s="222"/>
      <c r="EU36" s="222"/>
      <c r="EV36" s="222"/>
      <c r="EW36" s="222"/>
      <c r="EX36" s="222"/>
      <c r="EY36" s="222"/>
      <c r="EZ36" s="222"/>
      <c r="FA36" s="222"/>
      <c r="FB36" s="222"/>
      <c r="FC36" s="222"/>
      <c r="FD36" s="222"/>
      <c r="FE36" s="222"/>
      <c r="FF36" s="222"/>
      <c r="FG36" s="222"/>
      <c r="FH36" s="222"/>
      <c r="FI36" s="222"/>
      <c r="FJ36" s="222"/>
      <c r="FK36" s="222"/>
      <c r="FL36" s="222"/>
      <c r="FM36" s="222"/>
      <c r="FN36" s="222"/>
      <c r="FO36" s="222"/>
      <c r="FP36" s="222"/>
      <c r="FQ36" s="222"/>
      <c r="FR36" s="222"/>
      <c r="FS36" s="222"/>
      <c r="FT36" s="222"/>
      <c r="FU36" s="222"/>
      <c r="FV36" s="222"/>
      <c r="FW36" s="222"/>
      <c r="FX36" s="222"/>
      <c r="FY36" s="222"/>
      <c r="FZ36" s="222"/>
      <c r="GA36" s="222"/>
      <c r="GB36" s="222"/>
      <c r="GC36" s="222"/>
      <c r="GD36" s="222"/>
      <c r="GE36" s="222"/>
      <c r="GF36" s="222"/>
      <c r="GG36" s="222"/>
      <c r="GH36" s="222"/>
      <c r="GI36" s="222"/>
      <c r="GJ36" s="222"/>
      <c r="GK36" s="222"/>
      <c r="GL36" s="222"/>
      <c r="GM36" s="222"/>
      <c r="GN36" s="222"/>
      <c r="GO36" s="222"/>
      <c r="GP36" s="222"/>
      <c r="GQ36" s="222"/>
      <c r="GR36" s="222"/>
      <c r="GS36" s="222"/>
      <c r="GT36" s="222"/>
      <c r="GU36" s="222"/>
      <c r="GV36" s="222"/>
      <c r="GW36" s="222"/>
      <c r="GX36" s="222"/>
      <c r="GY36" s="222"/>
      <c r="GZ36" s="222"/>
      <c r="HA36" s="222"/>
      <c r="HB36" s="222"/>
      <c r="HC36" s="222"/>
      <c r="HD36" s="222"/>
      <c r="HE36" s="222"/>
      <c r="HF36" s="222"/>
      <c r="HG36" s="222"/>
      <c r="HH36" s="222"/>
      <c r="HI36" s="222"/>
      <c r="HJ36" s="222"/>
      <c r="HK36" s="222"/>
      <c r="HL36" s="222"/>
      <c r="HM36" s="222"/>
      <c r="HN36" s="222"/>
      <c r="HO36" s="222"/>
      <c r="HP36" s="222"/>
      <c r="HQ36" s="222"/>
      <c r="HR36" s="222"/>
      <c r="HS36" s="222"/>
      <c r="HT36" s="222"/>
      <c r="HU36" s="222"/>
      <c r="HV36" s="222"/>
      <c r="HW36" s="222"/>
    </row>
    <row r="37" spans="1:231" s="222" customFormat="1" ht="31.5">
      <c r="A37" s="10">
        <v>4</v>
      </c>
      <c r="B37" s="55" t="s">
        <v>168</v>
      </c>
      <c r="C37" s="2" t="s">
        <v>33</v>
      </c>
      <c r="D37" s="3">
        <v>2016</v>
      </c>
      <c r="E37" s="3">
        <v>2020</v>
      </c>
      <c r="F37" s="219" t="s">
        <v>169</v>
      </c>
      <c r="G37" s="220">
        <v>3400</v>
      </c>
      <c r="H37" s="220">
        <v>3400</v>
      </c>
      <c r="I37" s="220">
        <v>2320</v>
      </c>
      <c r="J37" s="220">
        <f t="shared" si="7"/>
        <v>2320</v>
      </c>
      <c r="K37" s="204">
        <v>740</v>
      </c>
      <c r="L37" s="11" t="s">
        <v>840</v>
      </c>
      <c r="M37" s="173"/>
      <c r="N37" s="227"/>
      <c r="P37" s="172">
        <f t="shared" si="3"/>
        <v>3060</v>
      </c>
      <c r="Q37" s="172">
        <f t="shared" si="4"/>
        <v>3060</v>
      </c>
    </row>
    <row r="38" spans="1:231" s="225" customFormat="1" ht="31.5">
      <c r="A38" s="10">
        <v>5</v>
      </c>
      <c r="B38" s="62" t="s">
        <v>200</v>
      </c>
      <c r="C38" s="2" t="s">
        <v>33</v>
      </c>
      <c r="D38" s="3">
        <v>2016</v>
      </c>
      <c r="E38" s="3">
        <v>2018</v>
      </c>
      <c r="F38" s="224" t="s">
        <v>201</v>
      </c>
      <c r="G38" s="35">
        <v>3200</v>
      </c>
      <c r="H38" s="35">
        <v>3200</v>
      </c>
      <c r="I38" s="35">
        <v>2120</v>
      </c>
      <c r="J38" s="35">
        <f t="shared" si="7"/>
        <v>2120</v>
      </c>
      <c r="K38" s="204">
        <v>760</v>
      </c>
      <c r="L38" s="36" t="s">
        <v>841</v>
      </c>
      <c r="M38" s="221"/>
      <c r="N38" s="223"/>
      <c r="O38" s="223"/>
      <c r="P38" s="172">
        <f t="shared" si="3"/>
        <v>2880</v>
      </c>
      <c r="Q38" s="172">
        <f t="shared" si="4"/>
        <v>2880</v>
      </c>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3"/>
      <c r="BR38" s="223"/>
      <c r="BS38" s="223"/>
      <c r="BT38" s="223"/>
      <c r="BU38" s="223"/>
      <c r="BV38" s="223"/>
      <c r="BW38" s="223"/>
      <c r="BX38" s="223"/>
      <c r="BY38" s="223"/>
      <c r="BZ38" s="223"/>
      <c r="CA38" s="223"/>
      <c r="CB38" s="223"/>
      <c r="CC38" s="223"/>
      <c r="CD38" s="223"/>
      <c r="CE38" s="223"/>
      <c r="CF38" s="223"/>
      <c r="CG38" s="223"/>
      <c r="CH38" s="223"/>
      <c r="CI38" s="223"/>
      <c r="CJ38" s="223"/>
      <c r="CK38" s="223"/>
      <c r="CL38" s="223"/>
      <c r="CM38" s="223"/>
      <c r="CN38" s="223"/>
      <c r="CO38" s="223"/>
      <c r="CP38" s="223"/>
      <c r="CQ38" s="223"/>
      <c r="CR38" s="223"/>
      <c r="CS38" s="223"/>
      <c r="CT38" s="223"/>
      <c r="CU38" s="223"/>
      <c r="CV38" s="223"/>
      <c r="CW38" s="223"/>
      <c r="CX38" s="223"/>
      <c r="CY38" s="223"/>
      <c r="CZ38" s="223"/>
      <c r="DA38" s="223"/>
      <c r="DB38" s="223"/>
      <c r="DC38" s="223"/>
      <c r="DD38" s="223"/>
      <c r="DE38" s="223"/>
      <c r="DF38" s="223"/>
      <c r="DG38" s="223"/>
      <c r="DH38" s="223"/>
      <c r="DI38" s="223"/>
      <c r="DJ38" s="223"/>
      <c r="DK38" s="223"/>
      <c r="DL38" s="223"/>
      <c r="DM38" s="223"/>
      <c r="DN38" s="223"/>
      <c r="DO38" s="223"/>
      <c r="DP38" s="223"/>
      <c r="DQ38" s="223"/>
      <c r="DR38" s="223"/>
      <c r="DS38" s="223"/>
      <c r="DT38" s="223"/>
      <c r="DU38" s="223"/>
      <c r="DV38" s="223"/>
      <c r="DW38" s="223"/>
      <c r="DX38" s="223"/>
      <c r="DY38" s="223"/>
      <c r="DZ38" s="223"/>
      <c r="EA38" s="223"/>
      <c r="EB38" s="223"/>
      <c r="EC38" s="223"/>
      <c r="ED38" s="223"/>
      <c r="EE38" s="223"/>
      <c r="EF38" s="223"/>
      <c r="EG38" s="223"/>
      <c r="EH38" s="223"/>
      <c r="EI38" s="223"/>
      <c r="EJ38" s="223"/>
      <c r="EK38" s="223"/>
      <c r="EL38" s="223"/>
      <c r="EM38" s="223"/>
      <c r="EN38" s="223"/>
      <c r="EO38" s="223"/>
      <c r="EP38" s="223"/>
      <c r="EQ38" s="223"/>
      <c r="ER38" s="223"/>
      <c r="ES38" s="223"/>
      <c r="ET38" s="223"/>
      <c r="EU38" s="223"/>
      <c r="EV38" s="223"/>
      <c r="EW38" s="223"/>
      <c r="EX38" s="223"/>
      <c r="EY38" s="223"/>
      <c r="EZ38" s="223"/>
      <c r="FA38" s="223"/>
      <c r="FB38" s="223"/>
      <c r="FC38" s="223"/>
      <c r="FD38" s="223"/>
      <c r="FE38" s="223"/>
      <c r="FF38" s="223"/>
      <c r="FG38" s="223"/>
      <c r="FH38" s="223"/>
      <c r="FI38" s="223"/>
      <c r="FJ38" s="223"/>
      <c r="FK38" s="223"/>
      <c r="FL38" s="223"/>
      <c r="FM38" s="223"/>
      <c r="FN38" s="223"/>
      <c r="FO38" s="223"/>
      <c r="FP38" s="223"/>
      <c r="FQ38" s="223"/>
      <c r="FR38" s="223"/>
      <c r="FS38" s="223"/>
      <c r="FT38" s="223"/>
      <c r="FU38" s="223"/>
      <c r="FV38" s="223"/>
      <c r="FW38" s="223"/>
      <c r="FX38" s="223"/>
      <c r="FY38" s="223"/>
      <c r="FZ38" s="223"/>
      <c r="GA38" s="223"/>
      <c r="GB38" s="223"/>
      <c r="GC38" s="223"/>
      <c r="GD38" s="223"/>
      <c r="GE38" s="223"/>
      <c r="GF38" s="223"/>
      <c r="GG38" s="223"/>
      <c r="GH38" s="223"/>
      <c r="GI38" s="223"/>
      <c r="GJ38" s="223"/>
      <c r="GK38" s="223"/>
      <c r="GL38" s="223"/>
      <c r="GM38" s="223"/>
      <c r="GN38" s="223"/>
      <c r="GO38" s="223"/>
      <c r="GP38" s="223"/>
      <c r="GQ38" s="223"/>
      <c r="GR38" s="223"/>
      <c r="GS38" s="223"/>
      <c r="GT38" s="223"/>
      <c r="GU38" s="223"/>
      <c r="GV38" s="223"/>
      <c r="GW38" s="223"/>
      <c r="GX38" s="223"/>
      <c r="GY38" s="223"/>
      <c r="GZ38" s="223"/>
      <c r="HA38" s="223"/>
      <c r="HB38" s="223"/>
      <c r="HC38" s="223"/>
      <c r="HD38" s="223"/>
      <c r="HE38" s="223"/>
      <c r="HF38" s="223"/>
      <c r="HG38" s="223"/>
      <c r="HH38" s="223"/>
      <c r="HI38" s="223"/>
      <c r="HJ38" s="223"/>
      <c r="HK38" s="223"/>
      <c r="HL38" s="223"/>
      <c r="HM38" s="223"/>
      <c r="HN38" s="223"/>
      <c r="HO38" s="223"/>
      <c r="HP38" s="223"/>
      <c r="HQ38" s="223"/>
      <c r="HR38" s="223"/>
      <c r="HS38" s="223"/>
      <c r="HT38" s="223"/>
      <c r="HU38" s="223"/>
      <c r="HV38" s="223"/>
      <c r="HW38" s="223"/>
    </row>
    <row r="39" spans="1:231" s="222" customFormat="1" ht="31.5">
      <c r="A39" s="10">
        <v>6</v>
      </c>
      <c r="B39" s="99" t="s">
        <v>173</v>
      </c>
      <c r="C39" s="218" t="s">
        <v>10</v>
      </c>
      <c r="D39" s="3">
        <v>2016</v>
      </c>
      <c r="E39" s="3">
        <v>2018</v>
      </c>
      <c r="F39" s="219" t="s">
        <v>174</v>
      </c>
      <c r="G39" s="220">
        <v>3000</v>
      </c>
      <c r="H39" s="220">
        <v>3000</v>
      </c>
      <c r="I39" s="220">
        <v>1940</v>
      </c>
      <c r="J39" s="220">
        <f t="shared" si="7"/>
        <v>1940</v>
      </c>
      <c r="K39" s="11">
        <v>760</v>
      </c>
      <c r="L39" s="11" t="s">
        <v>842</v>
      </c>
      <c r="M39" s="173"/>
      <c r="P39" s="172">
        <f t="shared" si="3"/>
        <v>2700</v>
      </c>
      <c r="Q39" s="172">
        <f t="shared" si="4"/>
        <v>2700</v>
      </c>
    </row>
    <row r="40" spans="1:231" s="225" customFormat="1" ht="31.5">
      <c r="A40" s="10">
        <v>7</v>
      </c>
      <c r="B40" s="62" t="s">
        <v>191</v>
      </c>
      <c r="C40" s="218" t="s">
        <v>49</v>
      </c>
      <c r="D40" s="3">
        <v>2016</v>
      </c>
      <c r="E40" s="3">
        <v>2018</v>
      </c>
      <c r="F40" s="224" t="s">
        <v>192</v>
      </c>
      <c r="G40" s="35">
        <v>4500</v>
      </c>
      <c r="H40" s="35">
        <v>4500</v>
      </c>
      <c r="I40" s="35">
        <v>3125</v>
      </c>
      <c r="J40" s="35">
        <f t="shared" si="7"/>
        <v>3125</v>
      </c>
      <c r="K40" s="204">
        <v>771</v>
      </c>
      <c r="L40" s="36" t="s">
        <v>843</v>
      </c>
      <c r="M40" s="221"/>
      <c r="N40" s="222"/>
      <c r="O40" s="222"/>
      <c r="P40" s="172">
        <f t="shared" si="3"/>
        <v>3896</v>
      </c>
      <c r="Q40" s="172">
        <f t="shared" si="4"/>
        <v>3896</v>
      </c>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c r="BP40" s="222"/>
      <c r="BQ40" s="222"/>
      <c r="BR40" s="222"/>
      <c r="BS40" s="222"/>
      <c r="BT40" s="222"/>
      <c r="BU40" s="222"/>
      <c r="BV40" s="222"/>
      <c r="BW40" s="222"/>
      <c r="BX40" s="222"/>
      <c r="BY40" s="222"/>
      <c r="BZ40" s="222"/>
      <c r="CA40" s="222"/>
      <c r="CB40" s="222"/>
      <c r="CC40" s="222"/>
      <c r="CD40" s="222"/>
      <c r="CE40" s="222"/>
      <c r="CF40" s="222"/>
      <c r="CG40" s="222"/>
      <c r="CH40" s="222"/>
      <c r="CI40" s="222"/>
      <c r="CJ40" s="222"/>
      <c r="CK40" s="222"/>
      <c r="CL40" s="222"/>
      <c r="CM40" s="222"/>
      <c r="CN40" s="222"/>
      <c r="CO40" s="222"/>
      <c r="CP40" s="222"/>
      <c r="CQ40" s="222"/>
      <c r="CR40" s="222"/>
      <c r="CS40" s="222"/>
      <c r="CT40" s="222"/>
      <c r="CU40" s="222"/>
      <c r="CV40" s="222"/>
      <c r="CW40" s="222"/>
      <c r="CX40" s="222"/>
      <c r="CY40" s="222"/>
      <c r="CZ40" s="222"/>
      <c r="DA40" s="222"/>
      <c r="DB40" s="222"/>
      <c r="DC40" s="222"/>
      <c r="DD40" s="222"/>
      <c r="DE40" s="222"/>
      <c r="DF40" s="222"/>
      <c r="DG40" s="222"/>
      <c r="DH40" s="222"/>
      <c r="DI40" s="222"/>
      <c r="DJ40" s="222"/>
      <c r="DK40" s="222"/>
      <c r="DL40" s="222"/>
      <c r="DM40" s="222"/>
      <c r="DN40" s="222"/>
      <c r="DO40" s="222"/>
      <c r="DP40" s="222"/>
      <c r="DQ40" s="222"/>
      <c r="DR40" s="222"/>
      <c r="DS40" s="222"/>
      <c r="DT40" s="222"/>
      <c r="DU40" s="222"/>
      <c r="DV40" s="222"/>
      <c r="DW40" s="222"/>
      <c r="DX40" s="222"/>
      <c r="DY40" s="222"/>
      <c r="DZ40" s="222"/>
      <c r="EA40" s="222"/>
      <c r="EB40" s="222"/>
      <c r="EC40" s="222"/>
      <c r="ED40" s="222"/>
      <c r="EE40" s="222"/>
      <c r="EF40" s="222"/>
      <c r="EG40" s="222"/>
      <c r="EH40" s="222"/>
      <c r="EI40" s="222"/>
      <c r="EJ40" s="222"/>
      <c r="EK40" s="222"/>
      <c r="EL40" s="222"/>
      <c r="EM40" s="222"/>
      <c r="EN40" s="222"/>
      <c r="EO40" s="222"/>
      <c r="EP40" s="222"/>
      <c r="EQ40" s="222"/>
      <c r="ER40" s="222"/>
      <c r="ES40" s="222"/>
      <c r="ET40" s="222"/>
      <c r="EU40" s="222"/>
      <c r="EV40" s="222"/>
      <c r="EW40" s="222"/>
      <c r="EX40" s="222"/>
      <c r="EY40" s="222"/>
      <c r="EZ40" s="222"/>
      <c r="FA40" s="222"/>
      <c r="FB40" s="222"/>
      <c r="FC40" s="222"/>
      <c r="FD40" s="222"/>
      <c r="FE40" s="222"/>
      <c r="FF40" s="222"/>
      <c r="FG40" s="222"/>
      <c r="FH40" s="222"/>
      <c r="FI40" s="222"/>
      <c r="FJ40" s="222"/>
      <c r="FK40" s="222"/>
      <c r="FL40" s="222"/>
      <c r="FM40" s="222"/>
      <c r="FN40" s="222"/>
      <c r="FO40" s="222"/>
      <c r="FP40" s="222"/>
      <c r="FQ40" s="222"/>
      <c r="FR40" s="222"/>
      <c r="FS40" s="222"/>
      <c r="FT40" s="222"/>
      <c r="FU40" s="222"/>
      <c r="FV40" s="222"/>
      <c r="FW40" s="222"/>
      <c r="FX40" s="222"/>
      <c r="FY40" s="222"/>
      <c r="FZ40" s="222"/>
      <c r="GA40" s="222"/>
      <c r="GB40" s="222"/>
      <c r="GC40" s="222"/>
      <c r="GD40" s="222"/>
      <c r="GE40" s="222"/>
      <c r="GF40" s="222"/>
      <c r="GG40" s="222"/>
      <c r="GH40" s="222"/>
      <c r="GI40" s="222"/>
      <c r="GJ40" s="222"/>
      <c r="GK40" s="222"/>
      <c r="GL40" s="222"/>
      <c r="GM40" s="222"/>
      <c r="GN40" s="222"/>
      <c r="GO40" s="222"/>
      <c r="GP40" s="222"/>
      <c r="GQ40" s="222"/>
      <c r="GR40" s="222"/>
      <c r="GS40" s="222"/>
      <c r="GT40" s="222"/>
      <c r="GU40" s="222"/>
      <c r="GV40" s="222"/>
      <c r="GW40" s="222"/>
      <c r="GX40" s="222"/>
      <c r="GY40" s="222"/>
      <c r="GZ40" s="222"/>
      <c r="HA40" s="222"/>
      <c r="HB40" s="222"/>
      <c r="HC40" s="222"/>
      <c r="HD40" s="222"/>
      <c r="HE40" s="222"/>
      <c r="HF40" s="222"/>
      <c r="HG40" s="222"/>
      <c r="HH40" s="222"/>
      <c r="HI40" s="222"/>
      <c r="HJ40" s="222"/>
      <c r="HK40" s="222"/>
      <c r="HL40" s="222"/>
      <c r="HM40" s="222"/>
      <c r="HN40" s="222"/>
      <c r="HO40" s="222"/>
      <c r="HP40" s="222"/>
      <c r="HQ40" s="222"/>
      <c r="HR40" s="222"/>
      <c r="HS40" s="222"/>
      <c r="HT40" s="222"/>
      <c r="HU40" s="222"/>
      <c r="HV40" s="222"/>
      <c r="HW40" s="222"/>
    </row>
    <row r="41" spans="1:231" s="222" customFormat="1" ht="31.5">
      <c r="A41" s="10">
        <v>8</v>
      </c>
      <c r="B41" s="62" t="s">
        <v>222</v>
      </c>
      <c r="C41" s="228" t="s">
        <v>17</v>
      </c>
      <c r="D41" s="3">
        <v>2016</v>
      </c>
      <c r="E41" s="3">
        <v>2018</v>
      </c>
      <c r="F41" s="224" t="s">
        <v>223</v>
      </c>
      <c r="G41" s="220">
        <v>3000</v>
      </c>
      <c r="H41" s="220">
        <v>3000</v>
      </c>
      <c r="I41" s="220">
        <v>1900</v>
      </c>
      <c r="J41" s="220">
        <f t="shared" si="7"/>
        <v>1900</v>
      </c>
      <c r="K41" s="204">
        <v>800</v>
      </c>
      <c r="L41" s="36" t="s">
        <v>844</v>
      </c>
      <c r="M41" s="221"/>
      <c r="N41" s="225"/>
      <c r="O41" s="225"/>
      <c r="P41" s="172">
        <f t="shared" si="3"/>
        <v>2700</v>
      </c>
      <c r="Q41" s="172">
        <f t="shared" si="4"/>
        <v>2700</v>
      </c>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225"/>
      <c r="BN41" s="225"/>
      <c r="BO41" s="225"/>
      <c r="BP41" s="225"/>
      <c r="BQ41" s="225"/>
      <c r="BR41" s="225"/>
      <c r="BS41" s="225"/>
      <c r="BT41" s="225"/>
      <c r="BU41" s="225"/>
      <c r="BV41" s="225"/>
      <c r="BW41" s="225"/>
      <c r="BX41" s="225"/>
      <c r="BY41" s="225"/>
      <c r="BZ41" s="225"/>
      <c r="CA41" s="225"/>
      <c r="CB41" s="225"/>
      <c r="CC41" s="225"/>
      <c r="CD41" s="225"/>
      <c r="CE41" s="225"/>
      <c r="CF41" s="225"/>
      <c r="CG41" s="225"/>
      <c r="CH41" s="225"/>
      <c r="CI41" s="225"/>
      <c r="CJ41" s="225"/>
      <c r="CK41" s="225"/>
      <c r="CL41" s="225"/>
      <c r="CM41" s="225"/>
      <c r="CN41" s="225"/>
      <c r="CO41" s="225"/>
      <c r="CP41" s="225"/>
      <c r="CQ41" s="225"/>
      <c r="CR41" s="225"/>
      <c r="CS41" s="225"/>
      <c r="CT41" s="225"/>
      <c r="CU41" s="225"/>
      <c r="CV41" s="225"/>
      <c r="CW41" s="225"/>
      <c r="CX41" s="225"/>
      <c r="CY41" s="225"/>
      <c r="CZ41" s="225"/>
      <c r="DA41" s="225"/>
      <c r="DB41" s="225"/>
      <c r="DC41" s="225"/>
      <c r="DD41" s="225"/>
      <c r="DE41" s="225"/>
      <c r="DF41" s="225"/>
      <c r="DG41" s="225"/>
      <c r="DH41" s="225"/>
      <c r="DI41" s="225"/>
      <c r="DJ41" s="225"/>
      <c r="DK41" s="225"/>
      <c r="DL41" s="225"/>
      <c r="DM41" s="225"/>
      <c r="DN41" s="225"/>
      <c r="DO41" s="225"/>
      <c r="DP41" s="225"/>
      <c r="DQ41" s="225"/>
      <c r="DR41" s="225"/>
      <c r="DS41" s="225"/>
      <c r="DT41" s="225"/>
      <c r="DU41" s="225"/>
      <c r="DV41" s="225"/>
      <c r="DW41" s="225"/>
      <c r="DX41" s="225"/>
      <c r="DY41" s="225"/>
      <c r="DZ41" s="225"/>
      <c r="EA41" s="225"/>
      <c r="EB41" s="225"/>
      <c r="EC41" s="225"/>
      <c r="ED41" s="225"/>
      <c r="EE41" s="225"/>
      <c r="EF41" s="225"/>
      <c r="EG41" s="225"/>
      <c r="EH41" s="225"/>
      <c r="EI41" s="225"/>
      <c r="EJ41" s="225"/>
      <c r="EK41" s="225"/>
      <c r="EL41" s="225"/>
      <c r="EM41" s="225"/>
      <c r="EN41" s="225"/>
      <c r="EO41" s="225"/>
      <c r="EP41" s="225"/>
      <c r="EQ41" s="225"/>
      <c r="ER41" s="225"/>
      <c r="ES41" s="225"/>
      <c r="ET41" s="225"/>
      <c r="EU41" s="225"/>
      <c r="EV41" s="225"/>
      <c r="EW41" s="225"/>
      <c r="EX41" s="225"/>
      <c r="EY41" s="225"/>
      <c r="EZ41" s="225"/>
      <c r="FA41" s="225"/>
      <c r="FB41" s="225"/>
      <c r="FC41" s="225"/>
      <c r="FD41" s="225"/>
      <c r="FE41" s="225"/>
      <c r="FF41" s="225"/>
      <c r="FG41" s="225"/>
      <c r="FH41" s="225"/>
      <c r="FI41" s="225"/>
      <c r="FJ41" s="225"/>
      <c r="FK41" s="225"/>
      <c r="FL41" s="225"/>
      <c r="FM41" s="225"/>
      <c r="FN41" s="225"/>
      <c r="FO41" s="225"/>
      <c r="FP41" s="225"/>
      <c r="FQ41" s="225"/>
      <c r="FR41" s="225"/>
      <c r="FS41" s="225"/>
      <c r="FT41" s="225"/>
      <c r="FU41" s="225"/>
      <c r="FV41" s="225"/>
      <c r="FW41" s="225"/>
      <c r="FX41" s="225"/>
      <c r="FY41" s="225"/>
      <c r="FZ41" s="225"/>
      <c r="GA41" s="225"/>
      <c r="GB41" s="225"/>
      <c r="GC41" s="225"/>
      <c r="GD41" s="225"/>
      <c r="GE41" s="225"/>
      <c r="GF41" s="225"/>
      <c r="GG41" s="225"/>
      <c r="GH41" s="225"/>
      <c r="GI41" s="225"/>
      <c r="GJ41" s="225"/>
      <c r="GK41" s="225"/>
      <c r="GL41" s="225"/>
      <c r="GM41" s="225"/>
      <c r="GN41" s="225"/>
      <c r="GO41" s="225"/>
      <c r="GP41" s="225"/>
      <c r="GQ41" s="225"/>
      <c r="GR41" s="225"/>
      <c r="GS41" s="225"/>
      <c r="GT41" s="225"/>
      <c r="GU41" s="225"/>
      <c r="GV41" s="225"/>
      <c r="GW41" s="225"/>
      <c r="GX41" s="225"/>
      <c r="GY41" s="225"/>
      <c r="GZ41" s="225"/>
      <c r="HA41" s="225"/>
      <c r="HB41" s="225"/>
      <c r="HC41" s="225"/>
      <c r="HD41" s="225"/>
      <c r="HE41" s="225"/>
      <c r="HF41" s="225"/>
      <c r="HG41" s="225"/>
      <c r="HH41" s="225"/>
      <c r="HI41" s="225"/>
      <c r="HJ41" s="225"/>
      <c r="HK41" s="225"/>
      <c r="HL41" s="225"/>
      <c r="HM41" s="225"/>
      <c r="HN41" s="225"/>
      <c r="HO41" s="225"/>
      <c r="HP41" s="225"/>
      <c r="HQ41" s="225"/>
      <c r="HR41" s="225"/>
      <c r="HS41" s="225"/>
      <c r="HT41" s="225"/>
      <c r="HU41" s="225"/>
      <c r="HV41" s="225"/>
      <c r="HW41" s="225"/>
    </row>
    <row r="42" spans="1:231" s="225" customFormat="1" ht="31.5">
      <c r="A42" s="10">
        <v>9</v>
      </c>
      <c r="B42" s="62" t="s">
        <v>204</v>
      </c>
      <c r="C42" s="229" t="s">
        <v>46</v>
      </c>
      <c r="D42" s="3">
        <v>2016</v>
      </c>
      <c r="E42" s="3">
        <v>2018</v>
      </c>
      <c r="F42" s="224" t="s">
        <v>205</v>
      </c>
      <c r="G42" s="11">
        <v>3200</v>
      </c>
      <c r="H42" s="11">
        <v>3200</v>
      </c>
      <c r="I42" s="11">
        <v>2070</v>
      </c>
      <c r="J42" s="11">
        <f t="shared" si="7"/>
        <v>2070</v>
      </c>
      <c r="K42" s="204">
        <v>810</v>
      </c>
      <c r="L42" s="36" t="s">
        <v>845</v>
      </c>
      <c r="M42" s="221"/>
      <c r="P42" s="172">
        <f t="shared" si="3"/>
        <v>2880</v>
      </c>
      <c r="Q42" s="172">
        <f t="shared" si="4"/>
        <v>2880</v>
      </c>
    </row>
    <row r="43" spans="1:231" s="222" customFormat="1" ht="31.5">
      <c r="A43" s="10">
        <v>10</v>
      </c>
      <c r="B43" s="55" t="s">
        <v>166</v>
      </c>
      <c r="C43" s="218" t="s">
        <v>44</v>
      </c>
      <c r="D43" s="3">
        <v>2016</v>
      </c>
      <c r="E43" s="3">
        <v>2018</v>
      </c>
      <c r="F43" s="219" t="s">
        <v>167</v>
      </c>
      <c r="G43" s="220">
        <v>3549</v>
      </c>
      <c r="H43" s="220">
        <v>3549</v>
      </c>
      <c r="I43" s="220">
        <v>2283</v>
      </c>
      <c r="J43" s="220">
        <f t="shared" si="7"/>
        <v>2283</v>
      </c>
      <c r="K43" s="204">
        <v>911</v>
      </c>
      <c r="L43" s="36" t="s">
        <v>846</v>
      </c>
      <c r="M43" s="221"/>
      <c r="P43" s="172">
        <f t="shared" si="3"/>
        <v>3194</v>
      </c>
      <c r="Q43" s="172">
        <f t="shared" si="4"/>
        <v>3194</v>
      </c>
    </row>
    <row r="44" spans="1:231" s="225" customFormat="1" ht="25.5">
      <c r="A44" s="10">
        <v>11</v>
      </c>
      <c r="B44" s="99" t="s">
        <v>224</v>
      </c>
      <c r="C44" s="229" t="s">
        <v>46</v>
      </c>
      <c r="D44" s="3">
        <v>2016</v>
      </c>
      <c r="E44" s="3">
        <v>2018</v>
      </c>
      <c r="F44" s="219" t="s">
        <v>225</v>
      </c>
      <c r="G44" s="220">
        <v>1888</v>
      </c>
      <c r="H44" s="220">
        <v>1888</v>
      </c>
      <c r="I44" s="220">
        <v>750</v>
      </c>
      <c r="J44" s="220">
        <f t="shared" si="7"/>
        <v>750</v>
      </c>
      <c r="K44" s="11">
        <v>949</v>
      </c>
      <c r="L44" s="11" t="s">
        <v>847</v>
      </c>
      <c r="M44" s="173"/>
      <c r="N44" s="222"/>
      <c r="O44" s="222"/>
      <c r="P44" s="172">
        <f t="shared" si="3"/>
        <v>1699</v>
      </c>
      <c r="Q44" s="172">
        <f t="shared" si="4"/>
        <v>1699</v>
      </c>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22"/>
      <c r="BQ44" s="222"/>
      <c r="BR44" s="222"/>
      <c r="BS44" s="222"/>
      <c r="BT44" s="222"/>
      <c r="BU44" s="222"/>
      <c r="BV44" s="222"/>
      <c r="BW44" s="222"/>
      <c r="BX44" s="222"/>
      <c r="BY44" s="222"/>
      <c r="BZ44" s="222"/>
      <c r="CA44" s="222"/>
      <c r="CB44" s="222"/>
      <c r="CC44" s="222"/>
      <c r="CD44" s="222"/>
      <c r="CE44" s="222"/>
      <c r="CF44" s="222"/>
      <c r="CG44" s="222"/>
      <c r="CH44" s="222"/>
      <c r="CI44" s="222"/>
      <c r="CJ44" s="222"/>
      <c r="CK44" s="222"/>
      <c r="CL44" s="222"/>
      <c r="CM44" s="222"/>
      <c r="CN44" s="222"/>
      <c r="CO44" s="222"/>
      <c r="CP44" s="222"/>
      <c r="CQ44" s="222"/>
      <c r="CR44" s="222"/>
      <c r="CS44" s="222"/>
      <c r="CT44" s="222"/>
      <c r="CU44" s="222"/>
      <c r="CV44" s="222"/>
      <c r="CW44" s="222"/>
      <c r="CX44" s="222"/>
      <c r="CY44" s="222"/>
      <c r="CZ44" s="222"/>
      <c r="DA44" s="222"/>
      <c r="DB44" s="222"/>
      <c r="DC44" s="222"/>
      <c r="DD44" s="222"/>
      <c r="DE44" s="222"/>
      <c r="DF44" s="222"/>
      <c r="DG44" s="222"/>
      <c r="DH44" s="222"/>
      <c r="DI44" s="222"/>
      <c r="DJ44" s="222"/>
      <c r="DK44" s="222"/>
      <c r="DL44" s="222"/>
      <c r="DM44" s="222"/>
      <c r="DN44" s="222"/>
      <c r="DO44" s="222"/>
      <c r="DP44" s="222"/>
      <c r="DQ44" s="222"/>
      <c r="DR44" s="222"/>
      <c r="DS44" s="222"/>
      <c r="DT44" s="222"/>
      <c r="DU44" s="222"/>
      <c r="DV44" s="222"/>
      <c r="DW44" s="222"/>
      <c r="DX44" s="222"/>
      <c r="DY44" s="222"/>
      <c r="DZ44" s="222"/>
      <c r="EA44" s="222"/>
      <c r="EB44" s="222"/>
      <c r="EC44" s="222"/>
      <c r="ED44" s="222"/>
      <c r="EE44" s="222"/>
      <c r="EF44" s="222"/>
      <c r="EG44" s="222"/>
      <c r="EH44" s="222"/>
      <c r="EI44" s="222"/>
      <c r="EJ44" s="222"/>
      <c r="EK44" s="222"/>
      <c r="EL44" s="222"/>
      <c r="EM44" s="222"/>
      <c r="EN44" s="222"/>
      <c r="EO44" s="222"/>
      <c r="EP44" s="222"/>
      <c r="EQ44" s="222"/>
      <c r="ER44" s="222"/>
      <c r="ES44" s="222"/>
      <c r="ET44" s="222"/>
      <c r="EU44" s="222"/>
      <c r="EV44" s="222"/>
      <c r="EW44" s="222"/>
      <c r="EX44" s="222"/>
      <c r="EY44" s="222"/>
      <c r="EZ44" s="222"/>
      <c r="FA44" s="222"/>
      <c r="FB44" s="222"/>
      <c r="FC44" s="222"/>
      <c r="FD44" s="222"/>
      <c r="FE44" s="222"/>
      <c r="FF44" s="222"/>
      <c r="FG44" s="222"/>
      <c r="FH44" s="222"/>
      <c r="FI44" s="222"/>
      <c r="FJ44" s="222"/>
      <c r="FK44" s="222"/>
      <c r="FL44" s="222"/>
      <c r="FM44" s="222"/>
      <c r="FN44" s="222"/>
      <c r="FO44" s="222"/>
      <c r="FP44" s="222"/>
      <c r="FQ44" s="222"/>
      <c r="FR44" s="222"/>
      <c r="FS44" s="222"/>
      <c r="FT44" s="222"/>
      <c r="FU44" s="222"/>
      <c r="FV44" s="222"/>
      <c r="FW44" s="222"/>
      <c r="FX44" s="222"/>
      <c r="FY44" s="222"/>
      <c r="FZ44" s="222"/>
      <c r="GA44" s="222"/>
      <c r="GB44" s="222"/>
      <c r="GC44" s="222"/>
      <c r="GD44" s="222"/>
      <c r="GE44" s="222"/>
      <c r="GF44" s="222"/>
      <c r="GG44" s="222"/>
      <c r="GH44" s="222"/>
      <c r="GI44" s="222"/>
      <c r="GJ44" s="222"/>
      <c r="GK44" s="222"/>
      <c r="GL44" s="222"/>
      <c r="GM44" s="222"/>
      <c r="GN44" s="222"/>
      <c r="GO44" s="222"/>
      <c r="GP44" s="222"/>
      <c r="GQ44" s="222"/>
      <c r="GR44" s="222"/>
      <c r="GS44" s="222"/>
      <c r="GT44" s="222"/>
      <c r="GU44" s="222"/>
      <c r="GV44" s="222"/>
      <c r="GW44" s="222"/>
      <c r="GX44" s="222"/>
      <c r="GY44" s="222"/>
      <c r="GZ44" s="222"/>
      <c r="HA44" s="222"/>
      <c r="HB44" s="222"/>
      <c r="HC44" s="222"/>
      <c r="HD44" s="222"/>
      <c r="HE44" s="222"/>
      <c r="HF44" s="222"/>
      <c r="HG44" s="222"/>
      <c r="HH44" s="222"/>
      <c r="HI44" s="222"/>
      <c r="HJ44" s="222"/>
      <c r="HK44" s="222"/>
      <c r="HL44" s="222"/>
      <c r="HM44" s="222"/>
      <c r="HN44" s="222"/>
      <c r="HO44" s="222"/>
      <c r="HP44" s="222"/>
      <c r="HQ44" s="222"/>
      <c r="HR44" s="222"/>
      <c r="HS44" s="222"/>
      <c r="HT44" s="222"/>
      <c r="HU44" s="222"/>
      <c r="HV44" s="222"/>
      <c r="HW44" s="222"/>
    </row>
    <row r="45" spans="1:231" s="225" customFormat="1" ht="31.5">
      <c r="A45" s="10">
        <v>12</v>
      </c>
      <c r="B45" s="55" t="s">
        <v>175</v>
      </c>
      <c r="C45" s="218" t="s">
        <v>10</v>
      </c>
      <c r="D45" s="3">
        <v>2016</v>
      </c>
      <c r="E45" s="3">
        <v>2018</v>
      </c>
      <c r="F45" s="219" t="s">
        <v>176</v>
      </c>
      <c r="G45" s="220">
        <v>4104</v>
      </c>
      <c r="H45" s="220">
        <v>4104</v>
      </c>
      <c r="I45" s="220">
        <v>2700</v>
      </c>
      <c r="J45" s="220">
        <f t="shared" si="7"/>
        <v>2700</v>
      </c>
      <c r="K45" s="11">
        <v>984</v>
      </c>
      <c r="L45" s="11" t="s">
        <v>848</v>
      </c>
      <c r="M45" s="173"/>
      <c r="N45" s="222"/>
      <c r="O45" s="222"/>
      <c r="P45" s="172">
        <f t="shared" si="3"/>
        <v>3684</v>
      </c>
      <c r="Q45" s="172">
        <f t="shared" si="4"/>
        <v>3684</v>
      </c>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222"/>
      <c r="BQ45" s="222"/>
      <c r="BR45" s="222"/>
      <c r="BS45" s="222"/>
      <c r="BT45" s="222"/>
      <c r="BU45" s="222"/>
      <c r="BV45" s="222"/>
      <c r="BW45" s="222"/>
      <c r="BX45" s="222"/>
      <c r="BY45" s="222"/>
      <c r="BZ45" s="222"/>
      <c r="CA45" s="222"/>
      <c r="CB45" s="222"/>
      <c r="CC45" s="222"/>
      <c r="CD45" s="222"/>
      <c r="CE45" s="222"/>
      <c r="CF45" s="222"/>
      <c r="CG45" s="222"/>
      <c r="CH45" s="222"/>
      <c r="CI45" s="222"/>
      <c r="CJ45" s="222"/>
      <c r="CK45" s="222"/>
      <c r="CL45" s="222"/>
      <c r="CM45" s="222"/>
      <c r="CN45" s="222"/>
      <c r="CO45" s="222"/>
      <c r="CP45" s="222"/>
      <c r="CQ45" s="222"/>
      <c r="CR45" s="222"/>
      <c r="CS45" s="222"/>
      <c r="CT45" s="222"/>
      <c r="CU45" s="222"/>
      <c r="CV45" s="222"/>
      <c r="CW45" s="222"/>
      <c r="CX45" s="222"/>
      <c r="CY45" s="222"/>
      <c r="CZ45" s="222"/>
      <c r="DA45" s="222"/>
      <c r="DB45" s="222"/>
      <c r="DC45" s="222"/>
      <c r="DD45" s="222"/>
      <c r="DE45" s="222"/>
      <c r="DF45" s="222"/>
      <c r="DG45" s="222"/>
      <c r="DH45" s="222"/>
      <c r="DI45" s="222"/>
      <c r="DJ45" s="222"/>
      <c r="DK45" s="222"/>
      <c r="DL45" s="222"/>
      <c r="DM45" s="222"/>
      <c r="DN45" s="222"/>
      <c r="DO45" s="222"/>
      <c r="DP45" s="222"/>
      <c r="DQ45" s="222"/>
      <c r="DR45" s="222"/>
      <c r="DS45" s="222"/>
      <c r="DT45" s="222"/>
      <c r="DU45" s="222"/>
      <c r="DV45" s="222"/>
      <c r="DW45" s="222"/>
      <c r="DX45" s="222"/>
      <c r="DY45" s="222"/>
      <c r="DZ45" s="222"/>
      <c r="EA45" s="222"/>
      <c r="EB45" s="222"/>
      <c r="EC45" s="222"/>
      <c r="ED45" s="222"/>
      <c r="EE45" s="222"/>
      <c r="EF45" s="222"/>
      <c r="EG45" s="222"/>
      <c r="EH45" s="222"/>
      <c r="EI45" s="222"/>
      <c r="EJ45" s="222"/>
      <c r="EK45" s="222"/>
      <c r="EL45" s="222"/>
      <c r="EM45" s="222"/>
      <c r="EN45" s="222"/>
      <c r="EO45" s="222"/>
      <c r="EP45" s="222"/>
      <c r="EQ45" s="222"/>
      <c r="ER45" s="222"/>
      <c r="ES45" s="222"/>
      <c r="ET45" s="222"/>
      <c r="EU45" s="222"/>
      <c r="EV45" s="222"/>
      <c r="EW45" s="222"/>
      <c r="EX45" s="222"/>
      <c r="EY45" s="222"/>
      <c r="EZ45" s="222"/>
      <c r="FA45" s="222"/>
      <c r="FB45" s="222"/>
      <c r="FC45" s="222"/>
      <c r="FD45" s="222"/>
      <c r="FE45" s="222"/>
      <c r="FF45" s="222"/>
      <c r="FG45" s="222"/>
      <c r="FH45" s="222"/>
      <c r="FI45" s="222"/>
      <c r="FJ45" s="222"/>
      <c r="FK45" s="222"/>
      <c r="FL45" s="222"/>
      <c r="FM45" s="222"/>
      <c r="FN45" s="222"/>
      <c r="FO45" s="222"/>
      <c r="FP45" s="222"/>
      <c r="FQ45" s="222"/>
      <c r="FR45" s="222"/>
      <c r="FS45" s="222"/>
      <c r="FT45" s="222"/>
      <c r="FU45" s="222"/>
      <c r="FV45" s="222"/>
      <c r="FW45" s="222"/>
      <c r="FX45" s="222"/>
      <c r="FY45" s="222"/>
      <c r="FZ45" s="222"/>
      <c r="GA45" s="222"/>
      <c r="GB45" s="222"/>
      <c r="GC45" s="222"/>
      <c r="GD45" s="222"/>
      <c r="GE45" s="222"/>
      <c r="GF45" s="222"/>
      <c r="GG45" s="222"/>
      <c r="GH45" s="222"/>
      <c r="GI45" s="222"/>
      <c r="GJ45" s="222"/>
      <c r="GK45" s="222"/>
      <c r="GL45" s="222"/>
      <c r="GM45" s="222"/>
      <c r="GN45" s="222"/>
      <c r="GO45" s="222"/>
      <c r="GP45" s="222"/>
      <c r="GQ45" s="222"/>
      <c r="GR45" s="222"/>
      <c r="GS45" s="222"/>
      <c r="GT45" s="222"/>
      <c r="GU45" s="222"/>
      <c r="GV45" s="222"/>
      <c r="GW45" s="222"/>
      <c r="GX45" s="222"/>
      <c r="GY45" s="222"/>
      <c r="GZ45" s="222"/>
      <c r="HA45" s="222"/>
      <c r="HB45" s="222"/>
      <c r="HC45" s="222"/>
      <c r="HD45" s="222"/>
      <c r="HE45" s="222"/>
      <c r="HF45" s="222"/>
      <c r="HG45" s="222"/>
      <c r="HH45" s="222"/>
      <c r="HI45" s="222"/>
      <c r="HJ45" s="222"/>
      <c r="HK45" s="222"/>
      <c r="HL45" s="222"/>
      <c r="HM45" s="222"/>
      <c r="HN45" s="222"/>
      <c r="HO45" s="222"/>
      <c r="HP45" s="222"/>
      <c r="HQ45" s="222"/>
      <c r="HR45" s="222"/>
      <c r="HS45" s="222"/>
      <c r="HT45" s="222"/>
      <c r="HU45" s="222"/>
      <c r="HV45" s="222"/>
      <c r="HW45" s="222"/>
    </row>
    <row r="46" spans="1:231" s="222" customFormat="1" ht="31.5">
      <c r="A46" s="10">
        <v>13</v>
      </c>
      <c r="B46" s="62" t="s">
        <v>183</v>
      </c>
      <c r="C46" s="229" t="s">
        <v>26</v>
      </c>
      <c r="D46" s="3">
        <v>2016</v>
      </c>
      <c r="E46" s="3">
        <v>2018</v>
      </c>
      <c r="F46" s="224" t="s">
        <v>174</v>
      </c>
      <c r="G46" s="220">
        <v>4000</v>
      </c>
      <c r="H46" s="220">
        <v>4000</v>
      </c>
      <c r="I46" s="220">
        <v>2600</v>
      </c>
      <c r="J46" s="220">
        <f t="shared" si="7"/>
        <v>2600</v>
      </c>
      <c r="K46" s="204">
        <v>1000</v>
      </c>
      <c r="L46" s="11" t="s">
        <v>849</v>
      </c>
      <c r="M46" s="173"/>
      <c r="N46" s="225"/>
      <c r="O46" s="225"/>
      <c r="P46" s="172">
        <f t="shared" si="3"/>
        <v>3600</v>
      </c>
      <c r="Q46" s="172">
        <f t="shared" si="4"/>
        <v>3600</v>
      </c>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c r="BH46" s="225"/>
      <c r="BI46" s="225"/>
      <c r="BJ46" s="225"/>
      <c r="BK46" s="225"/>
      <c r="BL46" s="225"/>
      <c r="BM46" s="225"/>
      <c r="BN46" s="225"/>
      <c r="BO46" s="225"/>
      <c r="BP46" s="225"/>
      <c r="BQ46" s="225"/>
      <c r="BR46" s="225"/>
      <c r="BS46" s="225"/>
      <c r="BT46" s="225"/>
      <c r="BU46" s="225"/>
      <c r="BV46" s="225"/>
      <c r="BW46" s="225"/>
      <c r="BX46" s="225"/>
      <c r="BY46" s="225"/>
      <c r="BZ46" s="225"/>
      <c r="CA46" s="225"/>
      <c r="CB46" s="225"/>
      <c r="CC46" s="225"/>
      <c r="CD46" s="225"/>
      <c r="CE46" s="225"/>
      <c r="CF46" s="225"/>
      <c r="CG46" s="225"/>
      <c r="CH46" s="225"/>
      <c r="CI46" s="225"/>
      <c r="CJ46" s="225"/>
      <c r="CK46" s="225"/>
      <c r="CL46" s="225"/>
      <c r="CM46" s="225"/>
      <c r="CN46" s="225"/>
      <c r="CO46" s="225"/>
      <c r="CP46" s="225"/>
      <c r="CQ46" s="225"/>
      <c r="CR46" s="225"/>
      <c r="CS46" s="225"/>
      <c r="CT46" s="225"/>
      <c r="CU46" s="225"/>
      <c r="CV46" s="225"/>
      <c r="CW46" s="225"/>
      <c r="CX46" s="225"/>
      <c r="CY46" s="225"/>
      <c r="CZ46" s="225"/>
      <c r="DA46" s="225"/>
      <c r="DB46" s="225"/>
      <c r="DC46" s="225"/>
      <c r="DD46" s="225"/>
      <c r="DE46" s="225"/>
      <c r="DF46" s="225"/>
      <c r="DG46" s="225"/>
      <c r="DH46" s="225"/>
      <c r="DI46" s="225"/>
      <c r="DJ46" s="225"/>
      <c r="DK46" s="225"/>
      <c r="DL46" s="225"/>
      <c r="DM46" s="225"/>
      <c r="DN46" s="225"/>
      <c r="DO46" s="225"/>
      <c r="DP46" s="225"/>
      <c r="DQ46" s="225"/>
      <c r="DR46" s="225"/>
      <c r="DS46" s="225"/>
      <c r="DT46" s="225"/>
      <c r="DU46" s="225"/>
      <c r="DV46" s="225"/>
      <c r="DW46" s="225"/>
      <c r="DX46" s="225"/>
      <c r="DY46" s="225"/>
      <c r="DZ46" s="225"/>
      <c r="EA46" s="225"/>
      <c r="EB46" s="225"/>
      <c r="EC46" s="225"/>
      <c r="ED46" s="225"/>
      <c r="EE46" s="225"/>
      <c r="EF46" s="225"/>
      <c r="EG46" s="225"/>
      <c r="EH46" s="225"/>
      <c r="EI46" s="225"/>
      <c r="EJ46" s="225"/>
      <c r="EK46" s="225"/>
      <c r="EL46" s="225"/>
      <c r="EM46" s="225"/>
      <c r="EN46" s="225"/>
      <c r="EO46" s="225"/>
      <c r="EP46" s="225"/>
      <c r="EQ46" s="225"/>
      <c r="ER46" s="225"/>
      <c r="ES46" s="225"/>
      <c r="ET46" s="225"/>
      <c r="EU46" s="225"/>
      <c r="EV46" s="225"/>
      <c r="EW46" s="225"/>
      <c r="EX46" s="225"/>
      <c r="EY46" s="225"/>
      <c r="EZ46" s="225"/>
      <c r="FA46" s="225"/>
      <c r="FB46" s="225"/>
      <c r="FC46" s="225"/>
      <c r="FD46" s="225"/>
      <c r="FE46" s="225"/>
      <c r="FF46" s="225"/>
      <c r="FG46" s="225"/>
      <c r="FH46" s="225"/>
      <c r="FI46" s="225"/>
      <c r="FJ46" s="225"/>
      <c r="FK46" s="225"/>
      <c r="FL46" s="225"/>
      <c r="FM46" s="225"/>
      <c r="FN46" s="225"/>
      <c r="FO46" s="225"/>
      <c r="FP46" s="225"/>
      <c r="FQ46" s="225"/>
      <c r="FR46" s="225"/>
      <c r="FS46" s="225"/>
      <c r="FT46" s="225"/>
      <c r="FU46" s="225"/>
      <c r="FV46" s="225"/>
      <c r="FW46" s="225"/>
      <c r="FX46" s="225"/>
      <c r="FY46" s="225"/>
      <c r="FZ46" s="225"/>
      <c r="GA46" s="225"/>
      <c r="GB46" s="225"/>
      <c r="GC46" s="225"/>
      <c r="GD46" s="225"/>
      <c r="GE46" s="225"/>
      <c r="GF46" s="225"/>
      <c r="GG46" s="225"/>
      <c r="GH46" s="225"/>
      <c r="GI46" s="225"/>
      <c r="GJ46" s="225"/>
      <c r="GK46" s="225"/>
      <c r="GL46" s="225"/>
      <c r="GM46" s="225"/>
      <c r="GN46" s="225"/>
      <c r="GO46" s="225"/>
      <c r="GP46" s="225"/>
      <c r="GQ46" s="225"/>
      <c r="GR46" s="225"/>
      <c r="GS46" s="225"/>
      <c r="GT46" s="225"/>
      <c r="GU46" s="225"/>
      <c r="GV46" s="225"/>
      <c r="GW46" s="225"/>
      <c r="GX46" s="225"/>
      <c r="GY46" s="225"/>
      <c r="GZ46" s="225"/>
      <c r="HA46" s="225"/>
      <c r="HB46" s="225"/>
      <c r="HC46" s="225"/>
      <c r="HD46" s="225"/>
      <c r="HE46" s="225"/>
      <c r="HF46" s="225"/>
      <c r="HG46" s="225"/>
      <c r="HH46" s="225"/>
      <c r="HI46" s="225"/>
      <c r="HJ46" s="225"/>
      <c r="HK46" s="225"/>
      <c r="HL46" s="225"/>
      <c r="HM46" s="225"/>
      <c r="HN46" s="225"/>
      <c r="HO46" s="225"/>
      <c r="HP46" s="225"/>
      <c r="HQ46" s="225"/>
      <c r="HR46" s="225"/>
      <c r="HS46" s="225"/>
      <c r="HT46" s="225"/>
      <c r="HU46" s="225"/>
      <c r="HV46" s="225"/>
      <c r="HW46" s="225"/>
    </row>
    <row r="47" spans="1:231" s="223" customFormat="1" ht="31.5">
      <c r="A47" s="10">
        <v>14</v>
      </c>
      <c r="B47" s="62" t="s">
        <v>194</v>
      </c>
      <c r="C47" s="229" t="s">
        <v>46</v>
      </c>
      <c r="D47" s="3">
        <v>2016</v>
      </c>
      <c r="E47" s="3">
        <v>2018</v>
      </c>
      <c r="F47" s="224" t="s">
        <v>195</v>
      </c>
      <c r="G47" s="220">
        <v>4500</v>
      </c>
      <c r="H47" s="220">
        <v>4500</v>
      </c>
      <c r="I47" s="220">
        <v>3025</v>
      </c>
      <c r="J47" s="220">
        <f t="shared" si="7"/>
        <v>3025</v>
      </c>
      <c r="K47" s="204">
        <v>1025</v>
      </c>
      <c r="L47" s="11" t="s">
        <v>850</v>
      </c>
      <c r="M47" s="173"/>
      <c r="N47" s="230">
        <f>I47+K47</f>
        <v>4050</v>
      </c>
      <c r="O47" s="225"/>
      <c r="P47" s="172">
        <f t="shared" si="3"/>
        <v>4050</v>
      </c>
      <c r="Q47" s="172">
        <f t="shared" si="4"/>
        <v>4050</v>
      </c>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N47" s="225"/>
      <c r="BO47" s="225"/>
      <c r="BP47" s="225"/>
      <c r="BQ47" s="225"/>
      <c r="BR47" s="225"/>
      <c r="BS47" s="225"/>
      <c r="BT47" s="225"/>
      <c r="BU47" s="225"/>
      <c r="BV47" s="225"/>
      <c r="BW47" s="225"/>
      <c r="BX47" s="225"/>
      <c r="BY47" s="225"/>
      <c r="BZ47" s="225"/>
      <c r="CA47" s="225"/>
      <c r="CB47" s="225"/>
      <c r="CC47" s="225"/>
      <c r="CD47" s="225"/>
      <c r="CE47" s="225"/>
      <c r="CF47" s="225"/>
      <c r="CG47" s="225"/>
      <c r="CH47" s="225"/>
      <c r="CI47" s="225"/>
      <c r="CJ47" s="225"/>
      <c r="CK47" s="225"/>
      <c r="CL47" s="225"/>
      <c r="CM47" s="225"/>
      <c r="CN47" s="225"/>
      <c r="CO47" s="225"/>
      <c r="CP47" s="225"/>
      <c r="CQ47" s="225"/>
      <c r="CR47" s="225"/>
      <c r="CS47" s="225"/>
      <c r="CT47" s="225"/>
      <c r="CU47" s="225"/>
      <c r="CV47" s="225"/>
      <c r="CW47" s="225"/>
      <c r="CX47" s="225"/>
      <c r="CY47" s="225"/>
      <c r="CZ47" s="225"/>
      <c r="DA47" s="225"/>
      <c r="DB47" s="225"/>
      <c r="DC47" s="225"/>
      <c r="DD47" s="225"/>
      <c r="DE47" s="225"/>
      <c r="DF47" s="225"/>
      <c r="DG47" s="225"/>
      <c r="DH47" s="225"/>
      <c r="DI47" s="225"/>
      <c r="DJ47" s="225"/>
      <c r="DK47" s="225"/>
      <c r="DL47" s="225"/>
      <c r="DM47" s="225"/>
      <c r="DN47" s="225"/>
      <c r="DO47" s="225"/>
      <c r="DP47" s="225"/>
      <c r="DQ47" s="225"/>
      <c r="DR47" s="225"/>
      <c r="DS47" s="225"/>
      <c r="DT47" s="225"/>
      <c r="DU47" s="225"/>
      <c r="DV47" s="225"/>
      <c r="DW47" s="225"/>
      <c r="DX47" s="225"/>
      <c r="DY47" s="225"/>
      <c r="DZ47" s="225"/>
      <c r="EA47" s="225"/>
      <c r="EB47" s="225"/>
      <c r="EC47" s="225"/>
      <c r="ED47" s="225"/>
      <c r="EE47" s="225"/>
      <c r="EF47" s="225"/>
      <c r="EG47" s="225"/>
      <c r="EH47" s="225"/>
      <c r="EI47" s="225"/>
      <c r="EJ47" s="225"/>
      <c r="EK47" s="225"/>
      <c r="EL47" s="225"/>
      <c r="EM47" s="225"/>
      <c r="EN47" s="225"/>
      <c r="EO47" s="225"/>
      <c r="EP47" s="225"/>
      <c r="EQ47" s="225"/>
      <c r="ER47" s="225"/>
      <c r="ES47" s="225"/>
      <c r="ET47" s="225"/>
      <c r="EU47" s="225"/>
      <c r="EV47" s="225"/>
      <c r="EW47" s="225"/>
      <c r="EX47" s="225"/>
      <c r="EY47" s="225"/>
      <c r="EZ47" s="225"/>
      <c r="FA47" s="225"/>
      <c r="FB47" s="225"/>
      <c r="FC47" s="225"/>
      <c r="FD47" s="225"/>
      <c r="FE47" s="225"/>
      <c r="FF47" s="225"/>
      <c r="FG47" s="225"/>
      <c r="FH47" s="225"/>
      <c r="FI47" s="225"/>
      <c r="FJ47" s="225"/>
      <c r="FK47" s="225"/>
      <c r="FL47" s="225"/>
      <c r="FM47" s="225"/>
      <c r="FN47" s="225"/>
      <c r="FO47" s="225"/>
      <c r="FP47" s="225"/>
      <c r="FQ47" s="225"/>
      <c r="FR47" s="225"/>
      <c r="FS47" s="225"/>
      <c r="FT47" s="225"/>
      <c r="FU47" s="225"/>
      <c r="FV47" s="225"/>
      <c r="FW47" s="225"/>
      <c r="FX47" s="225"/>
      <c r="FY47" s="225"/>
      <c r="FZ47" s="225"/>
      <c r="GA47" s="225"/>
      <c r="GB47" s="225"/>
      <c r="GC47" s="225"/>
      <c r="GD47" s="225"/>
      <c r="GE47" s="225"/>
      <c r="GF47" s="225"/>
      <c r="GG47" s="225"/>
      <c r="GH47" s="225"/>
      <c r="GI47" s="225"/>
      <c r="GJ47" s="225"/>
      <c r="GK47" s="225"/>
      <c r="GL47" s="225"/>
      <c r="GM47" s="225"/>
      <c r="GN47" s="225"/>
      <c r="GO47" s="225"/>
      <c r="GP47" s="225"/>
      <c r="GQ47" s="225"/>
      <c r="GR47" s="225"/>
      <c r="GS47" s="225"/>
      <c r="GT47" s="225"/>
      <c r="GU47" s="225"/>
      <c r="GV47" s="225"/>
      <c r="GW47" s="225"/>
      <c r="GX47" s="225"/>
      <c r="GY47" s="225"/>
      <c r="GZ47" s="225"/>
      <c r="HA47" s="225"/>
      <c r="HB47" s="225"/>
      <c r="HC47" s="225"/>
      <c r="HD47" s="225"/>
      <c r="HE47" s="225"/>
      <c r="HF47" s="225"/>
      <c r="HG47" s="225"/>
      <c r="HH47" s="225"/>
      <c r="HI47" s="225"/>
      <c r="HJ47" s="225"/>
      <c r="HK47" s="225"/>
      <c r="HL47" s="225"/>
      <c r="HM47" s="225"/>
      <c r="HN47" s="225"/>
      <c r="HO47" s="225"/>
      <c r="HP47" s="225"/>
      <c r="HQ47" s="225"/>
      <c r="HR47" s="225"/>
      <c r="HS47" s="225"/>
      <c r="HT47" s="225"/>
      <c r="HU47" s="225"/>
      <c r="HV47" s="225"/>
      <c r="HW47" s="225"/>
    </row>
    <row r="48" spans="1:231" s="225" customFormat="1" ht="31.5">
      <c r="A48" s="10">
        <v>15</v>
      </c>
      <c r="B48" s="55" t="s">
        <v>189</v>
      </c>
      <c r="C48" s="231" t="s">
        <v>44</v>
      </c>
      <c r="D48" s="3">
        <v>2016</v>
      </c>
      <c r="E48" s="3">
        <v>2018</v>
      </c>
      <c r="F48" s="219" t="s">
        <v>190</v>
      </c>
      <c r="G48" s="35">
        <v>4978</v>
      </c>
      <c r="H48" s="35">
        <v>4978</v>
      </c>
      <c r="I48" s="35">
        <v>3950</v>
      </c>
      <c r="J48" s="35">
        <v>3350</v>
      </c>
      <c r="K48" s="204">
        <v>1029</v>
      </c>
      <c r="L48" s="36" t="s">
        <v>851</v>
      </c>
      <c r="M48" s="221"/>
      <c r="N48" s="222"/>
      <c r="O48" s="222"/>
      <c r="P48" s="172">
        <f t="shared" si="3"/>
        <v>4979</v>
      </c>
      <c r="Q48" s="172">
        <f t="shared" si="4"/>
        <v>4379</v>
      </c>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22"/>
      <c r="BQ48" s="222"/>
      <c r="BR48" s="222"/>
      <c r="BS48" s="222"/>
      <c r="BT48" s="222"/>
      <c r="BU48" s="222"/>
      <c r="BV48" s="222"/>
      <c r="BW48" s="222"/>
      <c r="BX48" s="222"/>
      <c r="BY48" s="222"/>
      <c r="BZ48" s="222"/>
      <c r="CA48" s="222"/>
      <c r="CB48" s="222"/>
      <c r="CC48" s="222"/>
      <c r="CD48" s="222"/>
      <c r="CE48" s="222"/>
      <c r="CF48" s="222"/>
      <c r="CG48" s="222"/>
      <c r="CH48" s="222"/>
      <c r="CI48" s="222"/>
      <c r="CJ48" s="222"/>
      <c r="CK48" s="222"/>
      <c r="CL48" s="222"/>
      <c r="CM48" s="222"/>
      <c r="CN48" s="222"/>
      <c r="CO48" s="222"/>
      <c r="CP48" s="222"/>
      <c r="CQ48" s="222"/>
      <c r="CR48" s="222"/>
      <c r="CS48" s="222"/>
      <c r="CT48" s="222"/>
      <c r="CU48" s="222"/>
      <c r="CV48" s="222"/>
      <c r="CW48" s="222"/>
      <c r="CX48" s="222"/>
      <c r="CY48" s="222"/>
      <c r="CZ48" s="222"/>
      <c r="DA48" s="222"/>
      <c r="DB48" s="222"/>
      <c r="DC48" s="222"/>
      <c r="DD48" s="222"/>
      <c r="DE48" s="222"/>
      <c r="DF48" s="222"/>
      <c r="DG48" s="222"/>
      <c r="DH48" s="222"/>
      <c r="DI48" s="222"/>
      <c r="DJ48" s="222"/>
      <c r="DK48" s="222"/>
      <c r="DL48" s="222"/>
      <c r="DM48" s="222"/>
      <c r="DN48" s="222"/>
      <c r="DO48" s="222"/>
      <c r="DP48" s="222"/>
      <c r="DQ48" s="222"/>
      <c r="DR48" s="222"/>
      <c r="DS48" s="222"/>
      <c r="DT48" s="222"/>
      <c r="DU48" s="222"/>
      <c r="DV48" s="222"/>
      <c r="DW48" s="222"/>
      <c r="DX48" s="222"/>
      <c r="DY48" s="222"/>
      <c r="DZ48" s="222"/>
      <c r="EA48" s="222"/>
      <c r="EB48" s="222"/>
      <c r="EC48" s="222"/>
      <c r="ED48" s="222"/>
      <c r="EE48" s="222"/>
      <c r="EF48" s="222"/>
      <c r="EG48" s="222"/>
      <c r="EH48" s="222"/>
      <c r="EI48" s="222"/>
      <c r="EJ48" s="222"/>
      <c r="EK48" s="222"/>
      <c r="EL48" s="222"/>
      <c r="EM48" s="222"/>
      <c r="EN48" s="222"/>
      <c r="EO48" s="222"/>
      <c r="EP48" s="222"/>
      <c r="EQ48" s="222"/>
      <c r="ER48" s="222"/>
      <c r="ES48" s="222"/>
      <c r="ET48" s="222"/>
      <c r="EU48" s="222"/>
      <c r="EV48" s="222"/>
      <c r="EW48" s="222"/>
      <c r="EX48" s="222"/>
      <c r="EY48" s="222"/>
      <c r="EZ48" s="222"/>
      <c r="FA48" s="222"/>
      <c r="FB48" s="222"/>
      <c r="FC48" s="222"/>
      <c r="FD48" s="222"/>
      <c r="FE48" s="222"/>
      <c r="FF48" s="222"/>
      <c r="FG48" s="222"/>
      <c r="FH48" s="222"/>
      <c r="FI48" s="222"/>
      <c r="FJ48" s="222"/>
      <c r="FK48" s="222"/>
      <c r="FL48" s="222"/>
      <c r="FM48" s="222"/>
      <c r="FN48" s="222"/>
      <c r="FO48" s="222"/>
      <c r="FP48" s="222"/>
      <c r="FQ48" s="222"/>
      <c r="FR48" s="222"/>
      <c r="FS48" s="222"/>
      <c r="FT48" s="222"/>
      <c r="FU48" s="222"/>
      <c r="FV48" s="222"/>
      <c r="FW48" s="222"/>
      <c r="FX48" s="222"/>
      <c r="FY48" s="222"/>
      <c r="FZ48" s="222"/>
      <c r="GA48" s="222"/>
      <c r="GB48" s="222"/>
      <c r="GC48" s="222"/>
      <c r="GD48" s="222"/>
      <c r="GE48" s="222"/>
      <c r="GF48" s="222"/>
      <c r="GG48" s="222"/>
      <c r="GH48" s="222"/>
      <c r="GI48" s="222"/>
      <c r="GJ48" s="222"/>
      <c r="GK48" s="222"/>
      <c r="GL48" s="222"/>
      <c r="GM48" s="222"/>
      <c r="GN48" s="222"/>
      <c r="GO48" s="222"/>
      <c r="GP48" s="222"/>
      <c r="GQ48" s="222"/>
      <c r="GR48" s="222"/>
      <c r="GS48" s="222"/>
      <c r="GT48" s="222"/>
      <c r="GU48" s="222"/>
      <c r="GV48" s="222"/>
      <c r="GW48" s="222"/>
      <c r="GX48" s="222"/>
      <c r="GY48" s="222"/>
      <c r="GZ48" s="222"/>
      <c r="HA48" s="222"/>
      <c r="HB48" s="222"/>
      <c r="HC48" s="222"/>
      <c r="HD48" s="222"/>
      <c r="HE48" s="222"/>
      <c r="HF48" s="222"/>
      <c r="HG48" s="222"/>
      <c r="HH48" s="222"/>
      <c r="HI48" s="222"/>
      <c r="HJ48" s="222"/>
      <c r="HK48" s="222"/>
      <c r="HL48" s="222"/>
      <c r="HM48" s="222"/>
      <c r="HN48" s="222"/>
      <c r="HO48" s="222"/>
      <c r="HP48" s="222"/>
      <c r="HQ48" s="222"/>
      <c r="HR48" s="222"/>
      <c r="HS48" s="222"/>
      <c r="HT48" s="222"/>
      <c r="HU48" s="222"/>
      <c r="HV48" s="222"/>
      <c r="HW48" s="222"/>
    </row>
    <row r="49" spans="1:231" s="222" customFormat="1" ht="31.5">
      <c r="A49" s="10">
        <v>16</v>
      </c>
      <c r="B49" s="62" t="s">
        <v>198</v>
      </c>
      <c r="C49" s="218" t="s">
        <v>10</v>
      </c>
      <c r="D49" s="3">
        <v>2016</v>
      </c>
      <c r="E49" s="3">
        <v>2018</v>
      </c>
      <c r="F49" s="224" t="s">
        <v>199</v>
      </c>
      <c r="G49" s="35">
        <v>4000</v>
      </c>
      <c r="H49" s="35">
        <v>4000</v>
      </c>
      <c r="I49" s="35">
        <v>2550</v>
      </c>
      <c r="J49" s="35">
        <v>2550</v>
      </c>
      <c r="K49" s="11">
        <v>1050</v>
      </c>
      <c r="L49" s="11" t="s">
        <v>852</v>
      </c>
      <c r="M49" s="173"/>
      <c r="N49" s="223"/>
      <c r="O49" s="223"/>
      <c r="P49" s="172">
        <f t="shared" si="3"/>
        <v>3600</v>
      </c>
      <c r="Q49" s="172">
        <f t="shared" si="4"/>
        <v>3600</v>
      </c>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3"/>
      <c r="BR49" s="223"/>
      <c r="BS49" s="223"/>
      <c r="BT49" s="223"/>
      <c r="BU49" s="223"/>
      <c r="BV49" s="223"/>
      <c r="BW49" s="223"/>
      <c r="BX49" s="223"/>
      <c r="BY49" s="223"/>
      <c r="BZ49" s="223"/>
      <c r="CA49" s="223"/>
      <c r="CB49" s="223"/>
      <c r="CC49" s="223"/>
      <c r="CD49" s="223"/>
      <c r="CE49" s="223"/>
      <c r="CF49" s="223"/>
      <c r="CG49" s="223"/>
      <c r="CH49" s="223"/>
      <c r="CI49" s="223"/>
      <c r="CJ49" s="223"/>
      <c r="CK49" s="223"/>
      <c r="CL49" s="223"/>
      <c r="CM49" s="223"/>
      <c r="CN49" s="223"/>
      <c r="CO49" s="223"/>
      <c r="CP49" s="223"/>
      <c r="CQ49" s="223"/>
      <c r="CR49" s="223"/>
      <c r="CS49" s="223"/>
      <c r="CT49" s="223"/>
      <c r="CU49" s="223"/>
      <c r="CV49" s="223"/>
      <c r="CW49" s="223"/>
      <c r="CX49" s="223"/>
      <c r="CY49" s="223"/>
      <c r="CZ49" s="223"/>
      <c r="DA49" s="223"/>
      <c r="DB49" s="223"/>
      <c r="DC49" s="223"/>
      <c r="DD49" s="223"/>
      <c r="DE49" s="223"/>
      <c r="DF49" s="223"/>
      <c r="DG49" s="223"/>
      <c r="DH49" s="223"/>
      <c r="DI49" s="223"/>
      <c r="DJ49" s="223"/>
      <c r="DK49" s="223"/>
      <c r="DL49" s="223"/>
      <c r="DM49" s="223"/>
      <c r="DN49" s="223"/>
      <c r="DO49" s="223"/>
      <c r="DP49" s="223"/>
      <c r="DQ49" s="223"/>
      <c r="DR49" s="223"/>
      <c r="DS49" s="223"/>
      <c r="DT49" s="223"/>
      <c r="DU49" s="223"/>
      <c r="DV49" s="223"/>
      <c r="DW49" s="223"/>
      <c r="DX49" s="223"/>
      <c r="DY49" s="223"/>
      <c r="DZ49" s="223"/>
      <c r="EA49" s="223"/>
      <c r="EB49" s="223"/>
      <c r="EC49" s="223"/>
      <c r="ED49" s="223"/>
      <c r="EE49" s="223"/>
      <c r="EF49" s="223"/>
      <c r="EG49" s="223"/>
      <c r="EH49" s="223"/>
      <c r="EI49" s="223"/>
      <c r="EJ49" s="223"/>
      <c r="EK49" s="223"/>
      <c r="EL49" s="223"/>
      <c r="EM49" s="223"/>
      <c r="EN49" s="223"/>
      <c r="EO49" s="223"/>
      <c r="EP49" s="223"/>
      <c r="EQ49" s="223"/>
      <c r="ER49" s="223"/>
      <c r="ES49" s="223"/>
      <c r="ET49" s="223"/>
      <c r="EU49" s="223"/>
      <c r="EV49" s="223"/>
      <c r="EW49" s="223"/>
      <c r="EX49" s="223"/>
      <c r="EY49" s="223"/>
      <c r="EZ49" s="223"/>
      <c r="FA49" s="223"/>
      <c r="FB49" s="223"/>
      <c r="FC49" s="223"/>
      <c r="FD49" s="223"/>
      <c r="FE49" s="223"/>
      <c r="FF49" s="223"/>
      <c r="FG49" s="223"/>
      <c r="FH49" s="223"/>
      <c r="FI49" s="223"/>
      <c r="FJ49" s="223"/>
      <c r="FK49" s="223"/>
      <c r="FL49" s="223"/>
      <c r="FM49" s="223"/>
      <c r="FN49" s="223"/>
      <c r="FO49" s="223"/>
      <c r="FP49" s="223"/>
      <c r="FQ49" s="223"/>
      <c r="FR49" s="223"/>
      <c r="FS49" s="223"/>
      <c r="FT49" s="223"/>
      <c r="FU49" s="223"/>
      <c r="FV49" s="223"/>
      <c r="FW49" s="223"/>
      <c r="FX49" s="223"/>
      <c r="FY49" s="223"/>
      <c r="FZ49" s="223"/>
      <c r="GA49" s="223"/>
      <c r="GB49" s="223"/>
      <c r="GC49" s="223"/>
      <c r="GD49" s="223"/>
      <c r="GE49" s="223"/>
      <c r="GF49" s="223"/>
      <c r="GG49" s="223"/>
      <c r="GH49" s="223"/>
      <c r="GI49" s="223"/>
      <c r="GJ49" s="223"/>
      <c r="GK49" s="223"/>
      <c r="GL49" s="223"/>
      <c r="GM49" s="223"/>
      <c r="GN49" s="223"/>
      <c r="GO49" s="223"/>
      <c r="GP49" s="223"/>
      <c r="GQ49" s="223"/>
      <c r="GR49" s="223"/>
      <c r="GS49" s="223"/>
      <c r="GT49" s="223"/>
      <c r="GU49" s="223"/>
      <c r="GV49" s="223"/>
      <c r="GW49" s="223"/>
      <c r="GX49" s="223"/>
      <c r="GY49" s="223"/>
      <c r="GZ49" s="223"/>
      <c r="HA49" s="223"/>
      <c r="HB49" s="223"/>
      <c r="HC49" s="223"/>
      <c r="HD49" s="223"/>
      <c r="HE49" s="223"/>
      <c r="HF49" s="223"/>
      <c r="HG49" s="223"/>
      <c r="HH49" s="223"/>
      <c r="HI49" s="223"/>
      <c r="HJ49" s="223"/>
      <c r="HK49" s="223"/>
      <c r="HL49" s="223"/>
      <c r="HM49" s="223"/>
      <c r="HN49" s="223"/>
      <c r="HO49" s="223"/>
      <c r="HP49" s="223"/>
      <c r="HQ49" s="223"/>
      <c r="HR49" s="223"/>
      <c r="HS49" s="223"/>
      <c r="HT49" s="223"/>
      <c r="HU49" s="223"/>
      <c r="HV49" s="223"/>
      <c r="HW49" s="223"/>
    </row>
    <row r="50" spans="1:231" s="222" customFormat="1" ht="31.5">
      <c r="A50" s="10">
        <v>17</v>
      </c>
      <c r="B50" s="55" t="s">
        <v>202</v>
      </c>
      <c r="C50" s="218" t="s">
        <v>49</v>
      </c>
      <c r="D50" s="3">
        <v>2016</v>
      </c>
      <c r="E50" s="3">
        <v>2018</v>
      </c>
      <c r="F50" s="219" t="s">
        <v>203</v>
      </c>
      <c r="G50" s="35">
        <v>4800</v>
      </c>
      <c r="H50" s="35">
        <v>4800</v>
      </c>
      <c r="I50" s="35">
        <v>3030</v>
      </c>
      <c r="J50" s="35">
        <v>3030</v>
      </c>
      <c r="K50" s="204">
        <v>1290</v>
      </c>
      <c r="L50" s="11" t="s">
        <v>853</v>
      </c>
      <c r="M50" s="173"/>
      <c r="P50" s="172">
        <f t="shared" si="3"/>
        <v>4320</v>
      </c>
      <c r="Q50" s="172">
        <f t="shared" si="4"/>
        <v>4320</v>
      </c>
    </row>
    <row r="51" spans="1:231" s="225" customFormat="1" ht="31.5">
      <c r="A51" s="10">
        <v>18</v>
      </c>
      <c r="B51" s="62" t="s">
        <v>196</v>
      </c>
      <c r="C51" s="229" t="s">
        <v>46</v>
      </c>
      <c r="D51" s="3">
        <v>2016</v>
      </c>
      <c r="E51" s="3">
        <v>2018</v>
      </c>
      <c r="F51" s="224" t="s">
        <v>197</v>
      </c>
      <c r="G51" s="35">
        <v>6324</v>
      </c>
      <c r="H51" s="35">
        <v>6324</v>
      </c>
      <c r="I51" s="11">
        <v>4000</v>
      </c>
      <c r="J51" s="11">
        <v>4000</v>
      </c>
      <c r="K51" s="11">
        <v>1692</v>
      </c>
      <c r="L51" s="11" t="s">
        <v>854</v>
      </c>
      <c r="M51" s="173"/>
      <c r="P51" s="172">
        <f t="shared" si="3"/>
        <v>5692</v>
      </c>
      <c r="Q51" s="172">
        <f t="shared" si="4"/>
        <v>5692</v>
      </c>
    </row>
    <row r="52" spans="1:231" s="222" customFormat="1" ht="31.5">
      <c r="A52" s="10">
        <v>19</v>
      </c>
      <c r="B52" s="62" t="s">
        <v>328</v>
      </c>
      <c r="C52" s="218" t="s">
        <v>10</v>
      </c>
      <c r="D52" s="3">
        <v>2016</v>
      </c>
      <c r="E52" s="3">
        <v>2018</v>
      </c>
      <c r="F52" s="224" t="s">
        <v>329</v>
      </c>
      <c r="G52" s="220">
        <v>2994</v>
      </c>
      <c r="H52" s="220">
        <v>2394</v>
      </c>
      <c r="I52" s="220">
        <v>939</v>
      </c>
      <c r="J52" s="220">
        <v>339</v>
      </c>
      <c r="K52" s="204">
        <v>2055</v>
      </c>
      <c r="L52" s="36" t="s">
        <v>852</v>
      </c>
      <c r="M52" s="221"/>
      <c r="N52" s="230"/>
      <c r="O52" s="225"/>
      <c r="P52" s="172">
        <f t="shared" si="3"/>
        <v>2994</v>
      </c>
      <c r="Q52" s="172">
        <f t="shared" si="4"/>
        <v>2394</v>
      </c>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225"/>
      <c r="BN52" s="225"/>
      <c r="BO52" s="225"/>
      <c r="BP52" s="225"/>
      <c r="BQ52" s="225"/>
      <c r="BR52" s="225"/>
      <c r="BS52" s="225"/>
      <c r="BT52" s="225"/>
      <c r="BU52" s="225"/>
      <c r="BV52" s="225"/>
      <c r="BW52" s="225"/>
      <c r="BX52" s="225"/>
      <c r="BY52" s="225"/>
      <c r="BZ52" s="225"/>
      <c r="CA52" s="225"/>
      <c r="CB52" s="225"/>
      <c r="CC52" s="225"/>
      <c r="CD52" s="225"/>
      <c r="CE52" s="225"/>
      <c r="CF52" s="225"/>
      <c r="CG52" s="225"/>
      <c r="CH52" s="225"/>
      <c r="CI52" s="225"/>
      <c r="CJ52" s="225"/>
      <c r="CK52" s="225"/>
      <c r="CL52" s="225"/>
      <c r="CM52" s="225"/>
      <c r="CN52" s="225"/>
      <c r="CO52" s="225"/>
      <c r="CP52" s="225"/>
      <c r="CQ52" s="225"/>
      <c r="CR52" s="225"/>
      <c r="CS52" s="225"/>
      <c r="CT52" s="225"/>
      <c r="CU52" s="225"/>
      <c r="CV52" s="225"/>
      <c r="CW52" s="225"/>
      <c r="CX52" s="225"/>
      <c r="CY52" s="225"/>
      <c r="CZ52" s="225"/>
      <c r="DA52" s="225"/>
      <c r="DB52" s="225"/>
      <c r="DC52" s="225"/>
      <c r="DD52" s="225"/>
      <c r="DE52" s="225"/>
      <c r="DF52" s="225"/>
      <c r="DG52" s="225"/>
      <c r="DH52" s="225"/>
      <c r="DI52" s="225"/>
      <c r="DJ52" s="225"/>
      <c r="DK52" s="225"/>
      <c r="DL52" s="225"/>
      <c r="DM52" s="225"/>
      <c r="DN52" s="225"/>
      <c r="DO52" s="225"/>
      <c r="DP52" s="225"/>
      <c r="DQ52" s="225"/>
      <c r="DR52" s="225"/>
      <c r="DS52" s="225"/>
      <c r="DT52" s="225"/>
      <c r="DU52" s="225"/>
      <c r="DV52" s="225"/>
      <c r="DW52" s="225"/>
      <c r="DX52" s="225"/>
      <c r="DY52" s="225"/>
      <c r="DZ52" s="225"/>
      <c r="EA52" s="225"/>
      <c r="EB52" s="225"/>
      <c r="EC52" s="225"/>
      <c r="ED52" s="225"/>
      <c r="EE52" s="225"/>
      <c r="EF52" s="225"/>
      <c r="EG52" s="225"/>
      <c r="EH52" s="225"/>
      <c r="EI52" s="225"/>
      <c r="EJ52" s="225"/>
      <c r="EK52" s="225"/>
      <c r="EL52" s="225"/>
      <c r="EM52" s="225"/>
      <c r="EN52" s="225"/>
      <c r="EO52" s="225"/>
      <c r="EP52" s="225"/>
      <c r="EQ52" s="225"/>
      <c r="ER52" s="225"/>
      <c r="ES52" s="225"/>
      <c r="ET52" s="225"/>
      <c r="EU52" s="225"/>
      <c r="EV52" s="225"/>
      <c r="EW52" s="225"/>
      <c r="EX52" s="225"/>
      <c r="EY52" s="225"/>
      <c r="EZ52" s="225"/>
      <c r="FA52" s="225"/>
      <c r="FB52" s="225"/>
      <c r="FC52" s="225"/>
      <c r="FD52" s="225"/>
      <c r="FE52" s="225"/>
      <c r="FF52" s="225"/>
      <c r="FG52" s="225"/>
      <c r="FH52" s="225"/>
      <c r="FI52" s="225"/>
      <c r="FJ52" s="225"/>
      <c r="FK52" s="225"/>
      <c r="FL52" s="225"/>
      <c r="FM52" s="225"/>
      <c r="FN52" s="225"/>
      <c r="FO52" s="225"/>
      <c r="FP52" s="225"/>
      <c r="FQ52" s="225"/>
      <c r="FR52" s="225"/>
      <c r="FS52" s="225"/>
      <c r="FT52" s="225"/>
      <c r="FU52" s="225"/>
      <c r="FV52" s="225"/>
      <c r="FW52" s="225"/>
      <c r="FX52" s="225"/>
      <c r="FY52" s="225"/>
      <c r="FZ52" s="225"/>
      <c r="GA52" s="225"/>
      <c r="GB52" s="225"/>
      <c r="GC52" s="225"/>
      <c r="GD52" s="225"/>
      <c r="GE52" s="225"/>
      <c r="GF52" s="225"/>
      <c r="GG52" s="225"/>
      <c r="GH52" s="225"/>
      <c r="GI52" s="225"/>
      <c r="GJ52" s="225"/>
      <c r="GK52" s="225"/>
      <c r="GL52" s="225"/>
      <c r="GM52" s="225"/>
      <c r="GN52" s="225"/>
      <c r="GO52" s="225"/>
      <c r="GP52" s="225"/>
      <c r="GQ52" s="225"/>
      <c r="GR52" s="225"/>
      <c r="GS52" s="225"/>
      <c r="GT52" s="225"/>
      <c r="GU52" s="225"/>
      <c r="GV52" s="225"/>
      <c r="GW52" s="225"/>
      <c r="GX52" s="225"/>
      <c r="GY52" s="225"/>
      <c r="GZ52" s="225"/>
      <c r="HA52" s="225"/>
      <c r="HB52" s="225"/>
      <c r="HC52" s="225"/>
      <c r="HD52" s="225"/>
      <c r="HE52" s="225"/>
      <c r="HF52" s="225"/>
      <c r="HG52" s="225"/>
      <c r="HH52" s="225"/>
      <c r="HI52" s="225"/>
      <c r="HJ52" s="225"/>
      <c r="HK52" s="225"/>
      <c r="HL52" s="225"/>
      <c r="HM52" s="225"/>
      <c r="HN52" s="225"/>
      <c r="HO52" s="225"/>
      <c r="HP52" s="225"/>
      <c r="HQ52" s="225"/>
      <c r="HR52" s="225"/>
      <c r="HS52" s="225"/>
      <c r="HT52" s="225"/>
      <c r="HU52" s="225"/>
      <c r="HV52" s="225"/>
      <c r="HW52" s="225"/>
    </row>
    <row r="53" spans="1:231" s="225" customFormat="1" ht="31.5">
      <c r="A53" s="10">
        <v>20</v>
      </c>
      <c r="B53" s="62" t="s">
        <v>177</v>
      </c>
      <c r="C53" s="2" t="s">
        <v>9</v>
      </c>
      <c r="D53" s="3">
        <v>2016</v>
      </c>
      <c r="E53" s="3">
        <v>2018</v>
      </c>
      <c r="F53" s="224" t="s">
        <v>178</v>
      </c>
      <c r="G53" s="220">
        <v>8178</v>
      </c>
      <c r="H53" s="220">
        <v>8000</v>
      </c>
      <c r="I53" s="220">
        <v>5100</v>
      </c>
      <c r="J53" s="220">
        <v>5100</v>
      </c>
      <c r="K53" s="11">
        <v>2100</v>
      </c>
      <c r="L53" s="11" t="s">
        <v>855</v>
      </c>
      <c r="M53" s="173"/>
      <c r="P53" s="172">
        <f t="shared" si="3"/>
        <v>7200</v>
      </c>
      <c r="Q53" s="172">
        <f t="shared" si="4"/>
        <v>7200</v>
      </c>
    </row>
    <row r="54" spans="1:231" s="235" customFormat="1" ht="15.75">
      <c r="A54" s="175" t="s">
        <v>825</v>
      </c>
      <c r="B54" s="232" t="s">
        <v>659</v>
      </c>
      <c r="C54" s="233"/>
      <c r="D54" s="178"/>
      <c r="E54" s="178"/>
      <c r="F54" s="234"/>
      <c r="G54" s="215"/>
      <c r="H54" s="215"/>
      <c r="I54" s="215"/>
      <c r="J54" s="215"/>
      <c r="K54" s="215"/>
      <c r="L54" s="181"/>
      <c r="M54" s="182"/>
      <c r="P54" s="172">
        <f t="shared" si="3"/>
        <v>0</v>
      </c>
      <c r="Q54" s="172">
        <f t="shared" si="4"/>
        <v>0</v>
      </c>
    </row>
    <row r="55" spans="1:231" s="223" customFormat="1" ht="31.5">
      <c r="A55" s="10">
        <v>1</v>
      </c>
      <c r="B55" s="62" t="s">
        <v>275</v>
      </c>
      <c r="C55" s="229" t="s">
        <v>46</v>
      </c>
      <c r="D55" s="3">
        <v>2017</v>
      </c>
      <c r="E55" s="3">
        <v>2019</v>
      </c>
      <c r="F55" s="185" t="s">
        <v>276</v>
      </c>
      <c r="G55" s="220">
        <v>1982</v>
      </c>
      <c r="H55" s="220">
        <v>1982</v>
      </c>
      <c r="I55" s="220">
        <v>1000</v>
      </c>
      <c r="J55" s="220">
        <v>1000</v>
      </c>
      <c r="K55" s="204">
        <v>784</v>
      </c>
      <c r="L55" s="11" t="s">
        <v>856</v>
      </c>
      <c r="M55" s="173"/>
      <c r="N55" s="230">
        <f>K55+I55</f>
        <v>1784</v>
      </c>
      <c r="P55" s="172">
        <f t="shared" si="3"/>
        <v>1784</v>
      </c>
      <c r="Q55" s="172">
        <f t="shared" si="4"/>
        <v>1784</v>
      </c>
    </row>
    <row r="56" spans="1:231" s="222" customFormat="1" ht="25.5">
      <c r="A56" s="10">
        <v>2</v>
      </c>
      <c r="B56" s="55" t="s">
        <v>237</v>
      </c>
      <c r="C56" s="229" t="s">
        <v>46</v>
      </c>
      <c r="D56" s="3">
        <v>2017</v>
      </c>
      <c r="E56" s="3">
        <v>2019</v>
      </c>
      <c r="F56" s="224" t="s">
        <v>238</v>
      </c>
      <c r="G56" s="35">
        <v>2488</v>
      </c>
      <c r="H56" s="35">
        <v>2488</v>
      </c>
      <c r="I56" s="220">
        <v>725</v>
      </c>
      <c r="J56" s="220">
        <v>725</v>
      </c>
      <c r="K56" s="11">
        <v>1514</v>
      </c>
      <c r="L56" s="11" t="s">
        <v>857</v>
      </c>
      <c r="M56" s="173"/>
      <c r="N56" s="230">
        <f>K56+I56</f>
        <v>2239</v>
      </c>
      <c r="P56" s="172">
        <f t="shared" si="3"/>
        <v>2239</v>
      </c>
      <c r="Q56" s="172">
        <f t="shared" si="4"/>
        <v>2239</v>
      </c>
    </row>
    <row r="57" spans="1:231" s="222" customFormat="1" ht="31.5">
      <c r="A57" s="10">
        <v>3</v>
      </c>
      <c r="B57" s="62" t="s">
        <v>231</v>
      </c>
      <c r="C57" s="229" t="s">
        <v>46</v>
      </c>
      <c r="D57" s="3">
        <v>2017</v>
      </c>
      <c r="E57" s="3">
        <v>2019</v>
      </c>
      <c r="F57" s="224" t="s">
        <v>232</v>
      </c>
      <c r="G57" s="35">
        <v>2600</v>
      </c>
      <c r="H57" s="35">
        <v>2600</v>
      </c>
      <c r="I57" s="220">
        <v>725</v>
      </c>
      <c r="J57" s="220">
        <v>725</v>
      </c>
      <c r="K57" s="11">
        <v>1615</v>
      </c>
      <c r="L57" s="11" t="s">
        <v>858</v>
      </c>
      <c r="M57" s="173"/>
      <c r="N57" s="230">
        <f t="shared" ref="N57:N97" si="8">K57+I57</f>
        <v>2340</v>
      </c>
      <c r="O57" s="225"/>
      <c r="P57" s="172">
        <f t="shared" si="3"/>
        <v>2340</v>
      </c>
      <c r="Q57" s="172">
        <f t="shared" si="4"/>
        <v>2340</v>
      </c>
      <c r="R57" s="225"/>
      <c r="S57" s="225"/>
      <c r="T57" s="225"/>
      <c r="U57" s="225"/>
      <c r="V57" s="225"/>
      <c r="W57" s="225"/>
      <c r="X57" s="225"/>
      <c r="Y57" s="225"/>
      <c r="Z57" s="225"/>
      <c r="AA57" s="225"/>
      <c r="AB57" s="225"/>
      <c r="AC57" s="225"/>
      <c r="AD57" s="225"/>
      <c r="AE57" s="225"/>
      <c r="AF57" s="225"/>
      <c r="AG57" s="225"/>
      <c r="AH57" s="225"/>
      <c r="AI57" s="225"/>
      <c r="AJ57" s="225"/>
      <c r="AK57" s="225"/>
      <c r="AL57" s="225"/>
      <c r="AM57" s="225"/>
      <c r="AN57" s="225"/>
      <c r="AO57" s="225"/>
      <c r="AP57" s="225"/>
      <c r="AQ57" s="225"/>
      <c r="AR57" s="225"/>
      <c r="AS57" s="225"/>
      <c r="AT57" s="225"/>
      <c r="AU57" s="225"/>
      <c r="AV57" s="225"/>
      <c r="AW57" s="225"/>
      <c r="AX57" s="225"/>
      <c r="AY57" s="225"/>
      <c r="AZ57" s="225"/>
      <c r="BA57" s="225"/>
      <c r="BB57" s="225"/>
      <c r="BC57" s="225"/>
      <c r="BD57" s="225"/>
      <c r="BE57" s="225"/>
      <c r="BF57" s="225"/>
      <c r="BG57" s="225"/>
      <c r="BH57" s="225"/>
      <c r="BI57" s="225"/>
      <c r="BJ57" s="225"/>
      <c r="BK57" s="225"/>
      <c r="BL57" s="225"/>
      <c r="BM57" s="225"/>
      <c r="BN57" s="225"/>
      <c r="BO57" s="225"/>
      <c r="BP57" s="225"/>
      <c r="BQ57" s="225"/>
      <c r="BR57" s="225"/>
      <c r="BS57" s="225"/>
      <c r="BT57" s="225"/>
      <c r="BU57" s="225"/>
      <c r="BV57" s="225"/>
      <c r="BW57" s="225"/>
      <c r="BX57" s="225"/>
      <c r="BY57" s="225"/>
      <c r="BZ57" s="225"/>
      <c r="CA57" s="225"/>
      <c r="CB57" s="225"/>
      <c r="CC57" s="225"/>
      <c r="CD57" s="225"/>
      <c r="CE57" s="225"/>
      <c r="CF57" s="225"/>
      <c r="CG57" s="225"/>
      <c r="CH57" s="225"/>
      <c r="CI57" s="225"/>
      <c r="CJ57" s="225"/>
      <c r="CK57" s="225"/>
      <c r="CL57" s="225"/>
      <c r="CM57" s="225"/>
      <c r="CN57" s="225"/>
      <c r="CO57" s="225"/>
      <c r="CP57" s="225"/>
      <c r="CQ57" s="225"/>
      <c r="CR57" s="225"/>
      <c r="CS57" s="225"/>
      <c r="CT57" s="225"/>
      <c r="CU57" s="225"/>
      <c r="CV57" s="225"/>
      <c r="CW57" s="225"/>
      <c r="CX57" s="225"/>
      <c r="CY57" s="225"/>
      <c r="CZ57" s="225"/>
      <c r="DA57" s="225"/>
      <c r="DB57" s="225"/>
      <c r="DC57" s="225"/>
      <c r="DD57" s="225"/>
      <c r="DE57" s="225"/>
      <c r="DF57" s="225"/>
      <c r="DG57" s="225"/>
      <c r="DH57" s="225"/>
      <c r="DI57" s="225"/>
      <c r="DJ57" s="225"/>
      <c r="DK57" s="225"/>
      <c r="DL57" s="225"/>
      <c r="DM57" s="225"/>
      <c r="DN57" s="225"/>
      <c r="DO57" s="225"/>
      <c r="DP57" s="225"/>
      <c r="DQ57" s="225"/>
      <c r="DR57" s="225"/>
      <c r="DS57" s="225"/>
      <c r="DT57" s="225"/>
      <c r="DU57" s="225"/>
      <c r="DV57" s="225"/>
      <c r="DW57" s="225"/>
      <c r="DX57" s="225"/>
      <c r="DY57" s="225"/>
      <c r="DZ57" s="225"/>
      <c r="EA57" s="225"/>
      <c r="EB57" s="225"/>
      <c r="EC57" s="225"/>
      <c r="ED57" s="225"/>
      <c r="EE57" s="225"/>
      <c r="EF57" s="225"/>
      <c r="EG57" s="225"/>
      <c r="EH57" s="225"/>
      <c r="EI57" s="225"/>
      <c r="EJ57" s="225"/>
      <c r="EK57" s="225"/>
      <c r="EL57" s="225"/>
      <c r="EM57" s="225"/>
      <c r="EN57" s="225"/>
      <c r="EO57" s="225"/>
      <c r="EP57" s="225"/>
      <c r="EQ57" s="225"/>
      <c r="ER57" s="225"/>
      <c r="ES57" s="225"/>
      <c r="ET57" s="225"/>
      <c r="EU57" s="225"/>
      <c r="EV57" s="225"/>
      <c r="EW57" s="225"/>
      <c r="EX57" s="225"/>
      <c r="EY57" s="225"/>
      <c r="EZ57" s="225"/>
      <c r="FA57" s="225"/>
      <c r="FB57" s="225"/>
      <c r="FC57" s="225"/>
      <c r="FD57" s="225"/>
      <c r="FE57" s="225"/>
      <c r="FF57" s="225"/>
      <c r="FG57" s="225"/>
      <c r="FH57" s="225"/>
      <c r="FI57" s="225"/>
      <c r="FJ57" s="225"/>
      <c r="FK57" s="225"/>
      <c r="FL57" s="225"/>
      <c r="FM57" s="225"/>
      <c r="FN57" s="225"/>
      <c r="FO57" s="225"/>
      <c r="FP57" s="225"/>
      <c r="FQ57" s="225"/>
      <c r="FR57" s="225"/>
      <c r="FS57" s="225"/>
      <c r="FT57" s="225"/>
      <c r="FU57" s="225"/>
      <c r="FV57" s="225"/>
      <c r="FW57" s="225"/>
      <c r="FX57" s="225"/>
      <c r="FY57" s="225"/>
      <c r="FZ57" s="225"/>
      <c r="GA57" s="225"/>
      <c r="GB57" s="225"/>
      <c r="GC57" s="225"/>
      <c r="GD57" s="225"/>
      <c r="GE57" s="225"/>
      <c r="GF57" s="225"/>
      <c r="GG57" s="225"/>
      <c r="GH57" s="225"/>
      <c r="GI57" s="225"/>
      <c r="GJ57" s="225"/>
      <c r="GK57" s="225"/>
      <c r="GL57" s="225"/>
      <c r="GM57" s="225"/>
      <c r="GN57" s="225"/>
      <c r="GO57" s="225"/>
      <c r="GP57" s="225"/>
      <c r="GQ57" s="225"/>
      <c r="GR57" s="225"/>
      <c r="GS57" s="225"/>
      <c r="GT57" s="225"/>
      <c r="GU57" s="225"/>
      <c r="GV57" s="225"/>
      <c r="GW57" s="225"/>
      <c r="GX57" s="225"/>
      <c r="GY57" s="225"/>
      <c r="GZ57" s="225"/>
      <c r="HA57" s="225"/>
      <c r="HB57" s="225"/>
      <c r="HC57" s="225"/>
      <c r="HD57" s="225"/>
      <c r="HE57" s="225"/>
      <c r="HF57" s="225"/>
      <c r="HG57" s="225"/>
      <c r="HH57" s="225"/>
      <c r="HI57" s="225"/>
      <c r="HJ57" s="225"/>
      <c r="HK57" s="225"/>
      <c r="HL57" s="225"/>
      <c r="HM57" s="225"/>
      <c r="HN57" s="225"/>
      <c r="HO57" s="225"/>
      <c r="HP57" s="225"/>
      <c r="HQ57" s="225"/>
      <c r="HR57" s="225"/>
      <c r="HS57" s="225"/>
      <c r="HT57" s="225"/>
      <c r="HU57" s="225"/>
      <c r="HV57" s="225"/>
      <c r="HW57" s="225"/>
    </row>
    <row r="58" spans="1:231" s="223" customFormat="1" ht="31.5">
      <c r="A58" s="10">
        <v>4</v>
      </c>
      <c r="B58" s="62" t="s">
        <v>243</v>
      </c>
      <c r="C58" s="228" t="s">
        <v>17</v>
      </c>
      <c r="D58" s="3">
        <v>2017</v>
      </c>
      <c r="E58" s="3">
        <v>2019</v>
      </c>
      <c r="F58" s="224" t="s">
        <v>244</v>
      </c>
      <c r="G58" s="35">
        <v>2743</v>
      </c>
      <c r="H58" s="35">
        <v>2743</v>
      </c>
      <c r="I58" s="220">
        <v>815</v>
      </c>
      <c r="J58" s="220">
        <v>815</v>
      </c>
      <c r="K58" s="204">
        <v>1654</v>
      </c>
      <c r="L58" s="36" t="s">
        <v>859</v>
      </c>
      <c r="M58" s="221"/>
      <c r="N58" s="230">
        <f t="shared" si="8"/>
        <v>2469</v>
      </c>
      <c r="O58" s="225"/>
      <c r="P58" s="172">
        <f t="shared" si="3"/>
        <v>2469</v>
      </c>
      <c r="Q58" s="172">
        <f t="shared" si="4"/>
        <v>2469</v>
      </c>
      <c r="R58" s="225"/>
      <c r="S58" s="225"/>
      <c r="T58" s="225"/>
      <c r="U58" s="225"/>
      <c r="V58" s="225"/>
      <c r="W58" s="225"/>
      <c r="X58" s="225"/>
      <c r="Y58" s="225"/>
      <c r="Z58" s="225"/>
      <c r="AA58" s="225"/>
      <c r="AB58" s="225"/>
      <c r="AC58" s="225"/>
      <c r="AD58" s="225"/>
      <c r="AE58" s="225"/>
      <c r="AF58" s="225"/>
      <c r="AG58" s="225"/>
      <c r="AH58" s="225"/>
      <c r="AI58" s="225"/>
      <c r="AJ58" s="225"/>
      <c r="AK58" s="225"/>
      <c r="AL58" s="225"/>
      <c r="AM58" s="225"/>
      <c r="AN58" s="225"/>
      <c r="AO58" s="225"/>
      <c r="AP58" s="225"/>
      <c r="AQ58" s="225"/>
      <c r="AR58" s="225"/>
      <c r="AS58" s="225"/>
      <c r="AT58" s="225"/>
      <c r="AU58" s="225"/>
      <c r="AV58" s="225"/>
      <c r="AW58" s="225"/>
      <c r="AX58" s="225"/>
      <c r="AY58" s="225"/>
      <c r="AZ58" s="225"/>
      <c r="BA58" s="225"/>
      <c r="BB58" s="225"/>
      <c r="BC58" s="225"/>
      <c r="BD58" s="225"/>
      <c r="BE58" s="225"/>
      <c r="BF58" s="225"/>
      <c r="BG58" s="225"/>
      <c r="BH58" s="225"/>
      <c r="BI58" s="225"/>
      <c r="BJ58" s="225"/>
      <c r="BK58" s="225"/>
      <c r="BL58" s="225"/>
      <c r="BM58" s="225"/>
      <c r="BN58" s="225"/>
      <c r="BO58" s="225"/>
      <c r="BP58" s="225"/>
      <c r="BQ58" s="225"/>
      <c r="BR58" s="225"/>
      <c r="BS58" s="225"/>
      <c r="BT58" s="225"/>
      <c r="BU58" s="225"/>
      <c r="BV58" s="225"/>
      <c r="BW58" s="225"/>
      <c r="BX58" s="225"/>
      <c r="BY58" s="225"/>
      <c r="BZ58" s="225"/>
      <c r="CA58" s="225"/>
      <c r="CB58" s="225"/>
      <c r="CC58" s="225"/>
      <c r="CD58" s="225"/>
      <c r="CE58" s="225"/>
      <c r="CF58" s="225"/>
      <c r="CG58" s="225"/>
      <c r="CH58" s="225"/>
      <c r="CI58" s="225"/>
      <c r="CJ58" s="225"/>
      <c r="CK58" s="225"/>
      <c r="CL58" s="225"/>
      <c r="CM58" s="225"/>
      <c r="CN58" s="225"/>
      <c r="CO58" s="225"/>
      <c r="CP58" s="225"/>
      <c r="CQ58" s="225"/>
      <c r="CR58" s="225"/>
      <c r="CS58" s="225"/>
      <c r="CT58" s="225"/>
      <c r="CU58" s="225"/>
      <c r="CV58" s="225"/>
      <c r="CW58" s="225"/>
      <c r="CX58" s="225"/>
      <c r="CY58" s="225"/>
      <c r="CZ58" s="225"/>
      <c r="DA58" s="225"/>
      <c r="DB58" s="225"/>
      <c r="DC58" s="225"/>
      <c r="DD58" s="225"/>
      <c r="DE58" s="225"/>
      <c r="DF58" s="225"/>
      <c r="DG58" s="225"/>
      <c r="DH58" s="225"/>
      <c r="DI58" s="225"/>
      <c r="DJ58" s="225"/>
      <c r="DK58" s="225"/>
      <c r="DL58" s="225"/>
      <c r="DM58" s="225"/>
      <c r="DN58" s="225"/>
      <c r="DO58" s="225"/>
      <c r="DP58" s="225"/>
      <c r="DQ58" s="225"/>
      <c r="DR58" s="225"/>
      <c r="DS58" s="225"/>
      <c r="DT58" s="225"/>
      <c r="DU58" s="225"/>
      <c r="DV58" s="225"/>
      <c r="DW58" s="225"/>
      <c r="DX58" s="225"/>
      <c r="DY58" s="225"/>
      <c r="DZ58" s="225"/>
      <c r="EA58" s="225"/>
      <c r="EB58" s="225"/>
      <c r="EC58" s="225"/>
      <c r="ED58" s="225"/>
      <c r="EE58" s="225"/>
      <c r="EF58" s="225"/>
      <c r="EG58" s="225"/>
      <c r="EH58" s="225"/>
      <c r="EI58" s="225"/>
      <c r="EJ58" s="225"/>
      <c r="EK58" s="225"/>
      <c r="EL58" s="225"/>
      <c r="EM58" s="225"/>
      <c r="EN58" s="225"/>
      <c r="EO58" s="225"/>
      <c r="EP58" s="225"/>
      <c r="EQ58" s="225"/>
      <c r="ER58" s="225"/>
      <c r="ES58" s="225"/>
      <c r="ET58" s="225"/>
      <c r="EU58" s="225"/>
      <c r="EV58" s="225"/>
      <c r="EW58" s="225"/>
      <c r="EX58" s="225"/>
      <c r="EY58" s="225"/>
      <c r="EZ58" s="225"/>
      <c r="FA58" s="225"/>
      <c r="FB58" s="225"/>
      <c r="FC58" s="225"/>
      <c r="FD58" s="225"/>
      <c r="FE58" s="225"/>
      <c r="FF58" s="225"/>
      <c r="FG58" s="225"/>
      <c r="FH58" s="225"/>
      <c r="FI58" s="225"/>
      <c r="FJ58" s="225"/>
      <c r="FK58" s="225"/>
      <c r="FL58" s="225"/>
      <c r="FM58" s="225"/>
      <c r="FN58" s="225"/>
      <c r="FO58" s="225"/>
      <c r="FP58" s="225"/>
      <c r="FQ58" s="225"/>
      <c r="FR58" s="225"/>
      <c r="FS58" s="225"/>
      <c r="FT58" s="225"/>
      <c r="FU58" s="225"/>
      <c r="FV58" s="225"/>
      <c r="FW58" s="225"/>
      <c r="FX58" s="225"/>
      <c r="FY58" s="225"/>
      <c r="FZ58" s="225"/>
      <c r="GA58" s="225"/>
      <c r="GB58" s="225"/>
      <c r="GC58" s="225"/>
      <c r="GD58" s="225"/>
      <c r="GE58" s="225"/>
      <c r="GF58" s="225"/>
      <c r="GG58" s="225"/>
      <c r="GH58" s="225"/>
      <c r="GI58" s="225"/>
      <c r="GJ58" s="225"/>
      <c r="GK58" s="225"/>
      <c r="GL58" s="225"/>
      <c r="GM58" s="225"/>
      <c r="GN58" s="225"/>
      <c r="GO58" s="225"/>
      <c r="GP58" s="225"/>
      <c r="GQ58" s="225"/>
      <c r="GR58" s="225"/>
      <c r="GS58" s="225"/>
      <c r="GT58" s="225"/>
      <c r="GU58" s="225"/>
      <c r="GV58" s="225"/>
      <c r="GW58" s="225"/>
      <c r="GX58" s="225"/>
      <c r="GY58" s="225"/>
      <c r="GZ58" s="225"/>
      <c r="HA58" s="225"/>
      <c r="HB58" s="225"/>
      <c r="HC58" s="225"/>
      <c r="HD58" s="225"/>
      <c r="HE58" s="225"/>
      <c r="HF58" s="225"/>
      <c r="HG58" s="225"/>
      <c r="HH58" s="225"/>
      <c r="HI58" s="225"/>
      <c r="HJ58" s="225"/>
      <c r="HK58" s="225"/>
      <c r="HL58" s="225"/>
      <c r="HM58" s="225"/>
      <c r="HN58" s="225"/>
      <c r="HO58" s="225"/>
      <c r="HP58" s="225"/>
      <c r="HQ58" s="225"/>
      <c r="HR58" s="225"/>
      <c r="HS58" s="225"/>
      <c r="HT58" s="225"/>
      <c r="HU58" s="225"/>
      <c r="HV58" s="225"/>
      <c r="HW58" s="225"/>
    </row>
    <row r="59" spans="1:231" s="222" customFormat="1" ht="31.5">
      <c r="A59" s="10">
        <v>5</v>
      </c>
      <c r="B59" s="62" t="s">
        <v>241</v>
      </c>
      <c r="C59" s="231" t="s">
        <v>44</v>
      </c>
      <c r="D59" s="3">
        <v>2017</v>
      </c>
      <c r="E59" s="3">
        <v>2019</v>
      </c>
      <c r="F59" s="224" t="s">
        <v>242</v>
      </c>
      <c r="G59" s="35">
        <v>2890</v>
      </c>
      <c r="H59" s="35">
        <v>2890</v>
      </c>
      <c r="I59" s="220">
        <v>805</v>
      </c>
      <c r="J59" s="220">
        <v>805</v>
      </c>
      <c r="K59" s="11">
        <v>898</v>
      </c>
      <c r="L59" s="11" t="s">
        <v>860</v>
      </c>
      <c r="M59" s="173"/>
      <c r="N59" s="230">
        <f t="shared" si="8"/>
        <v>1703</v>
      </c>
      <c r="P59" s="172">
        <f t="shared" si="3"/>
        <v>1703</v>
      </c>
      <c r="Q59" s="172">
        <f t="shared" si="4"/>
        <v>1703</v>
      </c>
    </row>
    <row r="60" spans="1:231" s="223" customFormat="1" ht="25.5">
      <c r="A60" s="10">
        <v>6</v>
      </c>
      <c r="B60" s="62" t="s">
        <v>249</v>
      </c>
      <c r="C60" s="229" t="s">
        <v>46</v>
      </c>
      <c r="D60" s="3">
        <v>2017</v>
      </c>
      <c r="E60" s="3">
        <v>2019</v>
      </c>
      <c r="F60" s="224" t="s">
        <v>250</v>
      </c>
      <c r="G60" s="220">
        <v>2952</v>
      </c>
      <c r="H60" s="220">
        <v>2952</v>
      </c>
      <c r="I60" s="220">
        <v>825</v>
      </c>
      <c r="J60" s="220">
        <v>825</v>
      </c>
      <c r="K60" s="204">
        <v>916</v>
      </c>
      <c r="L60" s="36" t="s">
        <v>861</v>
      </c>
      <c r="M60" s="221"/>
      <c r="N60" s="230">
        <f t="shared" si="8"/>
        <v>1741</v>
      </c>
      <c r="O60" s="225"/>
      <c r="P60" s="172">
        <f t="shared" si="3"/>
        <v>1741</v>
      </c>
      <c r="Q60" s="172">
        <f t="shared" si="4"/>
        <v>1741</v>
      </c>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c r="AU60" s="225"/>
      <c r="AV60" s="225"/>
      <c r="AW60" s="225"/>
      <c r="AX60" s="225"/>
      <c r="AY60" s="225"/>
      <c r="AZ60" s="225"/>
      <c r="BA60" s="225"/>
      <c r="BB60" s="225"/>
      <c r="BC60" s="225"/>
      <c r="BD60" s="225"/>
      <c r="BE60" s="225"/>
      <c r="BF60" s="225"/>
      <c r="BG60" s="225"/>
      <c r="BH60" s="225"/>
      <c r="BI60" s="225"/>
      <c r="BJ60" s="225"/>
      <c r="BK60" s="225"/>
      <c r="BL60" s="225"/>
      <c r="BM60" s="225"/>
      <c r="BN60" s="225"/>
      <c r="BO60" s="225"/>
      <c r="BP60" s="225"/>
      <c r="BQ60" s="225"/>
      <c r="BR60" s="225"/>
      <c r="BS60" s="225"/>
      <c r="BT60" s="225"/>
      <c r="BU60" s="225"/>
      <c r="BV60" s="225"/>
      <c r="BW60" s="225"/>
      <c r="BX60" s="225"/>
      <c r="BY60" s="225"/>
      <c r="BZ60" s="225"/>
      <c r="CA60" s="225"/>
      <c r="CB60" s="225"/>
      <c r="CC60" s="225"/>
      <c r="CD60" s="225"/>
      <c r="CE60" s="225"/>
      <c r="CF60" s="225"/>
      <c r="CG60" s="225"/>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c r="DN60" s="225"/>
      <c r="DO60" s="225"/>
      <c r="DP60" s="225"/>
      <c r="DQ60" s="225"/>
      <c r="DR60" s="225"/>
      <c r="DS60" s="225"/>
      <c r="DT60" s="225"/>
      <c r="DU60" s="225"/>
      <c r="DV60" s="225"/>
      <c r="DW60" s="225"/>
      <c r="DX60" s="225"/>
      <c r="DY60" s="225"/>
      <c r="DZ60" s="225"/>
      <c r="EA60" s="225"/>
      <c r="EB60" s="225"/>
      <c r="EC60" s="225"/>
      <c r="ED60" s="225"/>
      <c r="EE60" s="225"/>
      <c r="EF60" s="225"/>
      <c r="EG60" s="225"/>
      <c r="EH60" s="225"/>
      <c r="EI60" s="225"/>
      <c r="EJ60" s="225"/>
      <c r="EK60" s="225"/>
      <c r="EL60" s="225"/>
      <c r="EM60" s="225"/>
      <c r="EN60" s="225"/>
      <c r="EO60" s="225"/>
      <c r="EP60" s="225"/>
      <c r="EQ60" s="225"/>
      <c r="ER60" s="225"/>
      <c r="ES60" s="225"/>
      <c r="ET60" s="225"/>
      <c r="EU60" s="225"/>
      <c r="EV60" s="225"/>
      <c r="EW60" s="225"/>
      <c r="EX60" s="225"/>
      <c r="EY60" s="225"/>
      <c r="EZ60" s="225"/>
      <c r="FA60" s="225"/>
      <c r="FB60" s="225"/>
      <c r="FC60" s="225"/>
      <c r="FD60" s="225"/>
      <c r="FE60" s="225"/>
      <c r="FF60" s="225"/>
      <c r="FG60" s="225"/>
      <c r="FH60" s="225"/>
      <c r="FI60" s="225"/>
      <c r="FJ60" s="225"/>
      <c r="FK60" s="225"/>
      <c r="FL60" s="225"/>
      <c r="FM60" s="225"/>
      <c r="FN60" s="225"/>
      <c r="FO60" s="225"/>
      <c r="FP60" s="225"/>
      <c r="FQ60" s="225"/>
      <c r="FR60" s="225"/>
      <c r="FS60" s="225"/>
      <c r="FT60" s="225"/>
      <c r="FU60" s="225"/>
      <c r="FV60" s="225"/>
      <c r="FW60" s="225"/>
      <c r="FX60" s="225"/>
      <c r="FY60" s="225"/>
      <c r="FZ60" s="225"/>
      <c r="GA60" s="225"/>
      <c r="GB60" s="225"/>
      <c r="GC60" s="225"/>
      <c r="GD60" s="225"/>
      <c r="GE60" s="225"/>
      <c r="GF60" s="225"/>
      <c r="GG60" s="225"/>
      <c r="GH60" s="225"/>
      <c r="GI60" s="225"/>
      <c r="GJ60" s="225"/>
      <c r="GK60" s="225"/>
      <c r="GL60" s="225"/>
      <c r="GM60" s="225"/>
      <c r="GN60" s="225"/>
      <c r="GO60" s="225"/>
      <c r="GP60" s="225"/>
      <c r="GQ60" s="225"/>
      <c r="GR60" s="225"/>
      <c r="GS60" s="225"/>
      <c r="GT60" s="225"/>
      <c r="GU60" s="225"/>
      <c r="GV60" s="225"/>
      <c r="GW60" s="225"/>
      <c r="GX60" s="225"/>
      <c r="GY60" s="225"/>
      <c r="GZ60" s="225"/>
      <c r="HA60" s="225"/>
      <c r="HB60" s="225"/>
      <c r="HC60" s="225"/>
      <c r="HD60" s="225"/>
      <c r="HE60" s="225"/>
      <c r="HF60" s="225"/>
      <c r="HG60" s="225"/>
      <c r="HH60" s="225"/>
      <c r="HI60" s="225"/>
      <c r="HJ60" s="225"/>
      <c r="HK60" s="225"/>
      <c r="HL60" s="225"/>
      <c r="HM60" s="225"/>
      <c r="HN60" s="225"/>
      <c r="HO60" s="225"/>
      <c r="HP60" s="225"/>
      <c r="HQ60" s="225"/>
      <c r="HR60" s="225"/>
      <c r="HS60" s="225"/>
      <c r="HT60" s="225"/>
      <c r="HU60" s="225"/>
      <c r="HV60" s="225"/>
      <c r="HW60" s="225"/>
    </row>
    <row r="61" spans="1:231" s="223" customFormat="1" ht="31.5">
      <c r="A61" s="10">
        <v>7</v>
      </c>
      <c r="B61" s="62" t="s">
        <v>265</v>
      </c>
      <c r="C61" s="2" t="s">
        <v>33</v>
      </c>
      <c r="D61" s="3">
        <v>2017</v>
      </c>
      <c r="E61" s="3">
        <v>2019</v>
      </c>
      <c r="F61" s="185" t="s">
        <v>266</v>
      </c>
      <c r="G61" s="220">
        <v>2894.7</v>
      </c>
      <c r="H61" s="220">
        <v>2894.7</v>
      </c>
      <c r="I61" s="220">
        <v>900</v>
      </c>
      <c r="J61" s="220">
        <v>900</v>
      </c>
      <c r="K61" s="204">
        <v>853</v>
      </c>
      <c r="L61" s="36" t="s">
        <v>862</v>
      </c>
      <c r="M61" s="221"/>
      <c r="N61" s="230">
        <f t="shared" si="8"/>
        <v>1753</v>
      </c>
      <c r="P61" s="172">
        <f t="shared" si="3"/>
        <v>1753</v>
      </c>
      <c r="Q61" s="172">
        <f t="shared" si="4"/>
        <v>1753</v>
      </c>
    </row>
    <row r="62" spans="1:231" s="223" customFormat="1" ht="31.5">
      <c r="A62" s="10">
        <v>8</v>
      </c>
      <c r="B62" s="62" t="s">
        <v>286</v>
      </c>
      <c r="C62" s="228" t="s">
        <v>17</v>
      </c>
      <c r="D62" s="3">
        <v>2017</v>
      </c>
      <c r="E62" s="3">
        <v>2019</v>
      </c>
      <c r="F62" s="224" t="s">
        <v>287</v>
      </c>
      <c r="G62" s="220">
        <v>2924</v>
      </c>
      <c r="H62" s="220">
        <v>2924</v>
      </c>
      <c r="I62" s="220">
        <v>900</v>
      </c>
      <c r="J62" s="220">
        <v>900</v>
      </c>
      <c r="K62" s="204">
        <v>866</v>
      </c>
      <c r="L62" s="36" t="s">
        <v>863</v>
      </c>
      <c r="M62" s="221"/>
      <c r="N62" s="230">
        <f t="shared" si="8"/>
        <v>1766</v>
      </c>
      <c r="P62" s="172">
        <f t="shared" si="3"/>
        <v>1766</v>
      </c>
      <c r="Q62" s="172">
        <f t="shared" si="4"/>
        <v>1766</v>
      </c>
    </row>
    <row r="63" spans="1:231" s="222" customFormat="1" ht="31.5">
      <c r="A63" s="10">
        <v>9</v>
      </c>
      <c r="B63" s="62" t="s">
        <v>307</v>
      </c>
      <c r="C63" s="229" t="s">
        <v>46</v>
      </c>
      <c r="D63" s="3">
        <v>2017</v>
      </c>
      <c r="E63" s="3">
        <v>2019</v>
      </c>
      <c r="F63" s="185" t="s">
        <v>308</v>
      </c>
      <c r="G63" s="220">
        <v>3045</v>
      </c>
      <c r="H63" s="220">
        <v>3045</v>
      </c>
      <c r="I63" s="220">
        <v>850</v>
      </c>
      <c r="J63" s="220">
        <v>850</v>
      </c>
      <c r="K63" s="204">
        <v>946</v>
      </c>
      <c r="L63" s="36" t="s">
        <v>864</v>
      </c>
      <c r="M63" s="221"/>
      <c r="N63" s="230">
        <f t="shared" si="8"/>
        <v>1796</v>
      </c>
      <c r="O63" s="223"/>
      <c r="P63" s="172">
        <f t="shared" si="3"/>
        <v>1796</v>
      </c>
      <c r="Q63" s="172">
        <f t="shared" si="4"/>
        <v>1796</v>
      </c>
      <c r="R63" s="223"/>
      <c r="S63" s="223"/>
      <c r="T63" s="223"/>
      <c r="U63" s="223"/>
      <c r="V63" s="223"/>
      <c r="W63" s="223"/>
      <c r="X63" s="223"/>
      <c r="Y63" s="223"/>
      <c r="Z63" s="223"/>
      <c r="AA63" s="223"/>
      <c r="AB63" s="223"/>
      <c r="AC63" s="223"/>
      <c r="AD63" s="223"/>
      <c r="AE63" s="223"/>
      <c r="AF63" s="223"/>
      <c r="AG63" s="223"/>
      <c r="AH63" s="223"/>
      <c r="AI63" s="223"/>
      <c r="AJ63" s="223"/>
      <c r="AK63" s="223"/>
      <c r="AL63" s="223"/>
      <c r="AM63" s="223"/>
      <c r="AN63" s="223"/>
      <c r="AO63" s="223"/>
      <c r="AP63" s="223"/>
      <c r="AQ63" s="223"/>
      <c r="AR63" s="223"/>
      <c r="AS63" s="223"/>
      <c r="AT63" s="223"/>
      <c r="AU63" s="223"/>
      <c r="AV63" s="223"/>
      <c r="AW63" s="223"/>
      <c r="AX63" s="223"/>
      <c r="AY63" s="223"/>
      <c r="AZ63" s="223"/>
      <c r="BA63" s="223"/>
      <c r="BB63" s="223"/>
      <c r="BC63" s="223"/>
      <c r="BD63" s="223"/>
      <c r="BE63" s="223"/>
      <c r="BF63" s="223"/>
      <c r="BG63" s="223"/>
      <c r="BH63" s="223"/>
      <c r="BI63" s="223"/>
      <c r="BJ63" s="223"/>
      <c r="BK63" s="223"/>
      <c r="BL63" s="223"/>
      <c r="BM63" s="223"/>
      <c r="BN63" s="223"/>
      <c r="BO63" s="223"/>
      <c r="BP63" s="223"/>
      <c r="BQ63" s="223"/>
      <c r="BR63" s="223"/>
      <c r="BS63" s="223"/>
      <c r="BT63" s="223"/>
      <c r="BU63" s="223"/>
      <c r="BV63" s="223"/>
      <c r="BW63" s="223"/>
      <c r="BX63" s="223"/>
      <c r="BY63" s="223"/>
      <c r="BZ63" s="223"/>
      <c r="CA63" s="223"/>
      <c r="CB63" s="223"/>
      <c r="CC63" s="223"/>
      <c r="CD63" s="223"/>
      <c r="CE63" s="223"/>
      <c r="CF63" s="223"/>
      <c r="CG63" s="223"/>
      <c r="CH63" s="223"/>
      <c r="CI63" s="223"/>
      <c r="CJ63" s="223"/>
      <c r="CK63" s="223"/>
      <c r="CL63" s="223"/>
      <c r="CM63" s="223"/>
      <c r="CN63" s="223"/>
      <c r="CO63" s="223"/>
      <c r="CP63" s="223"/>
      <c r="CQ63" s="223"/>
      <c r="CR63" s="223"/>
      <c r="CS63" s="223"/>
      <c r="CT63" s="223"/>
      <c r="CU63" s="223"/>
      <c r="CV63" s="223"/>
      <c r="CW63" s="223"/>
      <c r="CX63" s="223"/>
      <c r="CY63" s="223"/>
      <c r="CZ63" s="223"/>
      <c r="DA63" s="223"/>
      <c r="DB63" s="223"/>
      <c r="DC63" s="223"/>
      <c r="DD63" s="223"/>
      <c r="DE63" s="223"/>
      <c r="DF63" s="223"/>
      <c r="DG63" s="223"/>
      <c r="DH63" s="223"/>
      <c r="DI63" s="223"/>
      <c r="DJ63" s="223"/>
      <c r="DK63" s="223"/>
      <c r="DL63" s="223"/>
      <c r="DM63" s="223"/>
      <c r="DN63" s="223"/>
      <c r="DO63" s="223"/>
      <c r="DP63" s="223"/>
      <c r="DQ63" s="223"/>
      <c r="DR63" s="223"/>
      <c r="DS63" s="223"/>
      <c r="DT63" s="223"/>
      <c r="DU63" s="223"/>
      <c r="DV63" s="223"/>
      <c r="DW63" s="223"/>
      <c r="DX63" s="223"/>
      <c r="DY63" s="223"/>
      <c r="DZ63" s="223"/>
      <c r="EA63" s="223"/>
      <c r="EB63" s="223"/>
      <c r="EC63" s="223"/>
      <c r="ED63" s="223"/>
      <c r="EE63" s="223"/>
      <c r="EF63" s="223"/>
      <c r="EG63" s="223"/>
      <c r="EH63" s="223"/>
      <c r="EI63" s="223"/>
      <c r="EJ63" s="223"/>
      <c r="EK63" s="223"/>
      <c r="EL63" s="223"/>
      <c r="EM63" s="223"/>
      <c r="EN63" s="223"/>
      <c r="EO63" s="223"/>
      <c r="EP63" s="223"/>
      <c r="EQ63" s="223"/>
      <c r="ER63" s="223"/>
      <c r="ES63" s="223"/>
      <c r="ET63" s="223"/>
      <c r="EU63" s="223"/>
      <c r="EV63" s="223"/>
      <c r="EW63" s="223"/>
      <c r="EX63" s="223"/>
      <c r="EY63" s="223"/>
      <c r="EZ63" s="223"/>
      <c r="FA63" s="223"/>
      <c r="FB63" s="223"/>
      <c r="FC63" s="223"/>
      <c r="FD63" s="223"/>
      <c r="FE63" s="223"/>
      <c r="FF63" s="223"/>
      <c r="FG63" s="223"/>
      <c r="FH63" s="223"/>
      <c r="FI63" s="223"/>
      <c r="FJ63" s="223"/>
      <c r="FK63" s="223"/>
      <c r="FL63" s="223"/>
      <c r="FM63" s="223"/>
      <c r="FN63" s="223"/>
      <c r="FO63" s="223"/>
      <c r="FP63" s="223"/>
      <c r="FQ63" s="223"/>
      <c r="FR63" s="223"/>
      <c r="FS63" s="223"/>
      <c r="FT63" s="223"/>
      <c r="FU63" s="223"/>
      <c r="FV63" s="223"/>
      <c r="FW63" s="223"/>
      <c r="FX63" s="223"/>
      <c r="FY63" s="223"/>
      <c r="FZ63" s="223"/>
      <c r="GA63" s="223"/>
      <c r="GB63" s="223"/>
      <c r="GC63" s="223"/>
      <c r="GD63" s="223"/>
      <c r="GE63" s="223"/>
      <c r="GF63" s="223"/>
      <c r="GG63" s="223"/>
      <c r="GH63" s="223"/>
      <c r="GI63" s="223"/>
      <c r="GJ63" s="223"/>
      <c r="GK63" s="223"/>
      <c r="GL63" s="223"/>
      <c r="GM63" s="223"/>
      <c r="GN63" s="223"/>
      <c r="GO63" s="223"/>
      <c r="GP63" s="223"/>
      <c r="GQ63" s="223"/>
      <c r="GR63" s="223"/>
      <c r="GS63" s="223"/>
      <c r="GT63" s="223"/>
      <c r="GU63" s="223"/>
      <c r="GV63" s="223"/>
      <c r="GW63" s="223"/>
      <c r="GX63" s="223"/>
      <c r="GY63" s="223"/>
      <c r="GZ63" s="223"/>
      <c r="HA63" s="223"/>
      <c r="HB63" s="223"/>
      <c r="HC63" s="223"/>
      <c r="HD63" s="223"/>
      <c r="HE63" s="223"/>
      <c r="HF63" s="223"/>
      <c r="HG63" s="223"/>
      <c r="HH63" s="223"/>
      <c r="HI63" s="223"/>
      <c r="HJ63" s="223"/>
      <c r="HK63" s="223"/>
      <c r="HL63" s="223"/>
      <c r="HM63" s="223"/>
      <c r="HN63" s="223"/>
      <c r="HO63" s="223"/>
      <c r="HP63" s="223"/>
      <c r="HQ63" s="223"/>
      <c r="HR63" s="223"/>
      <c r="HS63" s="223"/>
      <c r="HT63" s="223"/>
      <c r="HU63" s="223"/>
      <c r="HV63" s="223"/>
      <c r="HW63" s="223"/>
    </row>
    <row r="64" spans="1:231" s="223" customFormat="1" ht="25.5">
      <c r="A64" s="10">
        <v>10</v>
      </c>
      <c r="B64" s="62" t="s">
        <v>259</v>
      </c>
      <c r="C64" s="218" t="s">
        <v>49</v>
      </c>
      <c r="D64" s="3">
        <v>2017</v>
      </c>
      <c r="E64" s="3">
        <v>2019</v>
      </c>
      <c r="F64" s="185" t="s">
        <v>490</v>
      </c>
      <c r="G64" s="35">
        <v>3200</v>
      </c>
      <c r="H64" s="35">
        <v>3200</v>
      </c>
      <c r="I64" s="220">
        <v>885</v>
      </c>
      <c r="J64" s="220">
        <v>885</v>
      </c>
      <c r="K64" s="204">
        <v>998</v>
      </c>
      <c r="L64" s="36" t="s">
        <v>865</v>
      </c>
      <c r="M64" s="221"/>
      <c r="N64" s="230">
        <f t="shared" si="8"/>
        <v>1883</v>
      </c>
      <c r="P64" s="172">
        <f t="shared" si="3"/>
        <v>1883</v>
      </c>
      <c r="Q64" s="172">
        <f t="shared" si="4"/>
        <v>1883</v>
      </c>
    </row>
    <row r="65" spans="1:231" s="223" customFormat="1" ht="31.5">
      <c r="A65" s="10">
        <v>11</v>
      </c>
      <c r="B65" s="62" t="s">
        <v>284</v>
      </c>
      <c r="C65" s="236" t="s">
        <v>49</v>
      </c>
      <c r="D65" s="3">
        <v>2017</v>
      </c>
      <c r="E65" s="3">
        <v>2019</v>
      </c>
      <c r="F65" s="185" t="s">
        <v>285</v>
      </c>
      <c r="G65" s="220">
        <v>3439</v>
      </c>
      <c r="H65" s="220">
        <v>3439</v>
      </c>
      <c r="I65" s="220">
        <v>1000</v>
      </c>
      <c r="J65" s="220">
        <v>1000</v>
      </c>
      <c r="K65" s="204">
        <v>1048</v>
      </c>
      <c r="L65" s="11" t="s">
        <v>853</v>
      </c>
      <c r="M65" s="173"/>
      <c r="N65" s="230">
        <f t="shared" si="8"/>
        <v>2048</v>
      </c>
      <c r="P65" s="172">
        <f t="shared" si="3"/>
        <v>2048</v>
      </c>
      <c r="Q65" s="172">
        <f t="shared" si="4"/>
        <v>2048</v>
      </c>
    </row>
    <row r="66" spans="1:231" s="223" customFormat="1" ht="31.5">
      <c r="A66" s="10">
        <v>12</v>
      </c>
      <c r="B66" s="62" t="s">
        <v>280</v>
      </c>
      <c r="C66" s="236" t="s">
        <v>49</v>
      </c>
      <c r="D66" s="3">
        <v>2017</v>
      </c>
      <c r="E66" s="3">
        <v>2019</v>
      </c>
      <c r="F66" s="185" t="s">
        <v>281</v>
      </c>
      <c r="G66" s="220">
        <v>3500</v>
      </c>
      <c r="H66" s="220">
        <v>3500</v>
      </c>
      <c r="I66" s="220">
        <v>1000</v>
      </c>
      <c r="J66" s="220">
        <v>1000</v>
      </c>
      <c r="K66" s="204">
        <v>1075</v>
      </c>
      <c r="L66" s="36" t="s">
        <v>866</v>
      </c>
      <c r="M66" s="221"/>
      <c r="N66" s="230">
        <f t="shared" si="8"/>
        <v>2075</v>
      </c>
      <c r="P66" s="172">
        <f t="shared" si="3"/>
        <v>2075</v>
      </c>
      <c r="Q66" s="172">
        <f t="shared" si="4"/>
        <v>2075</v>
      </c>
    </row>
    <row r="67" spans="1:231" s="223" customFormat="1" ht="31.5">
      <c r="A67" s="10">
        <v>13</v>
      </c>
      <c r="B67" s="62" t="s">
        <v>1603</v>
      </c>
      <c r="C67" s="218" t="s">
        <v>10</v>
      </c>
      <c r="D67" s="3">
        <v>2017</v>
      </c>
      <c r="E67" s="3">
        <v>2019</v>
      </c>
      <c r="F67" s="185" t="s">
        <v>784</v>
      </c>
      <c r="G67" s="220">
        <v>3450</v>
      </c>
      <c r="H67" s="220">
        <v>3450</v>
      </c>
      <c r="I67" s="220">
        <v>950</v>
      </c>
      <c r="J67" s="220">
        <v>950</v>
      </c>
      <c r="K67" s="204">
        <v>1078</v>
      </c>
      <c r="L67" s="36" t="s">
        <v>867</v>
      </c>
      <c r="M67" s="221"/>
      <c r="N67" s="230">
        <f t="shared" si="8"/>
        <v>2028</v>
      </c>
      <c r="P67" s="172">
        <f t="shared" si="3"/>
        <v>2028</v>
      </c>
      <c r="Q67" s="172">
        <f t="shared" si="4"/>
        <v>2028</v>
      </c>
    </row>
    <row r="68" spans="1:231" s="223" customFormat="1" ht="31.5">
      <c r="A68" s="10">
        <v>14</v>
      </c>
      <c r="B68" s="62" t="s">
        <v>257</v>
      </c>
      <c r="C68" s="2" t="s">
        <v>9</v>
      </c>
      <c r="D68" s="3">
        <v>2017</v>
      </c>
      <c r="E68" s="3">
        <v>2019</v>
      </c>
      <c r="F68" s="219" t="s">
        <v>258</v>
      </c>
      <c r="G68" s="35">
        <v>3523</v>
      </c>
      <c r="H68" s="35">
        <v>3523</v>
      </c>
      <c r="I68" s="220">
        <v>1000</v>
      </c>
      <c r="J68" s="220">
        <v>1000</v>
      </c>
      <c r="K68" s="204">
        <v>1086</v>
      </c>
      <c r="L68" s="36" t="s">
        <v>868</v>
      </c>
      <c r="M68" s="221"/>
      <c r="N68" s="230">
        <f t="shared" si="8"/>
        <v>2086</v>
      </c>
      <c r="P68" s="172">
        <f t="shared" si="3"/>
        <v>2086</v>
      </c>
      <c r="Q68" s="172">
        <f t="shared" si="4"/>
        <v>2086</v>
      </c>
    </row>
    <row r="69" spans="1:231" s="222" customFormat="1" ht="31.5">
      <c r="A69" s="10">
        <v>15</v>
      </c>
      <c r="B69" s="62" t="s">
        <v>869</v>
      </c>
      <c r="C69" s="2" t="s">
        <v>33</v>
      </c>
      <c r="D69" s="3">
        <v>2017</v>
      </c>
      <c r="E69" s="3">
        <v>2019</v>
      </c>
      <c r="F69" s="224" t="s">
        <v>489</v>
      </c>
      <c r="G69" s="220">
        <v>3351</v>
      </c>
      <c r="H69" s="220">
        <v>3351</v>
      </c>
      <c r="I69" s="220">
        <v>835</v>
      </c>
      <c r="J69" s="220">
        <v>835</v>
      </c>
      <c r="K69" s="204">
        <v>1091</v>
      </c>
      <c r="L69" s="11" t="s">
        <v>870</v>
      </c>
      <c r="M69" s="173"/>
      <c r="N69" s="230">
        <f t="shared" si="8"/>
        <v>1926</v>
      </c>
      <c r="O69" s="225"/>
      <c r="P69" s="172">
        <f t="shared" si="3"/>
        <v>1926</v>
      </c>
      <c r="Q69" s="172">
        <f t="shared" si="4"/>
        <v>1926</v>
      </c>
      <c r="R69" s="225"/>
      <c r="S69" s="225"/>
      <c r="T69" s="225"/>
      <c r="U69" s="225"/>
      <c r="V69" s="225"/>
      <c r="W69" s="225"/>
      <c r="X69" s="225"/>
      <c r="Y69" s="225"/>
      <c r="Z69" s="225"/>
      <c r="AA69" s="225"/>
      <c r="AB69" s="225"/>
      <c r="AC69" s="225"/>
      <c r="AD69" s="225"/>
      <c r="AE69" s="225"/>
      <c r="AF69" s="225"/>
      <c r="AG69" s="225"/>
      <c r="AH69" s="225"/>
      <c r="AI69" s="225"/>
      <c r="AJ69" s="225"/>
      <c r="AK69" s="225"/>
      <c r="AL69" s="225"/>
      <c r="AM69" s="225"/>
      <c r="AN69" s="225"/>
      <c r="AO69" s="225"/>
      <c r="AP69" s="225"/>
      <c r="AQ69" s="225"/>
      <c r="AR69" s="225"/>
      <c r="AS69" s="225"/>
      <c r="AT69" s="225"/>
      <c r="AU69" s="225"/>
      <c r="AV69" s="225"/>
      <c r="AW69" s="225"/>
      <c r="AX69" s="225"/>
      <c r="AY69" s="225"/>
      <c r="AZ69" s="225"/>
      <c r="BA69" s="225"/>
      <c r="BB69" s="225"/>
      <c r="BC69" s="225"/>
      <c r="BD69" s="225"/>
      <c r="BE69" s="225"/>
      <c r="BF69" s="225"/>
      <c r="BG69" s="225"/>
      <c r="BH69" s="225"/>
      <c r="BI69" s="225"/>
      <c r="BJ69" s="225"/>
      <c r="BK69" s="225"/>
      <c r="BL69" s="225"/>
      <c r="BM69" s="225"/>
      <c r="BN69" s="225"/>
      <c r="BO69" s="225"/>
      <c r="BP69" s="225"/>
      <c r="BQ69" s="225"/>
      <c r="BR69" s="225"/>
      <c r="BS69" s="225"/>
      <c r="BT69" s="225"/>
      <c r="BU69" s="225"/>
      <c r="BV69" s="225"/>
      <c r="BW69" s="225"/>
      <c r="BX69" s="225"/>
      <c r="BY69" s="225"/>
      <c r="BZ69" s="225"/>
      <c r="CA69" s="225"/>
      <c r="CB69" s="225"/>
      <c r="CC69" s="225"/>
      <c r="CD69" s="225"/>
      <c r="CE69" s="225"/>
      <c r="CF69" s="225"/>
      <c r="CG69" s="225"/>
      <c r="CH69" s="225"/>
      <c r="CI69" s="225"/>
      <c r="CJ69" s="225"/>
      <c r="CK69" s="225"/>
      <c r="CL69" s="225"/>
      <c r="CM69" s="225"/>
      <c r="CN69" s="225"/>
      <c r="CO69" s="225"/>
      <c r="CP69" s="225"/>
      <c r="CQ69" s="225"/>
      <c r="CR69" s="225"/>
      <c r="CS69" s="225"/>
      <c r="CT69" s="225"/>
      <c r="CU69" s="225"/>
      <c r="CV69" s="225"/>
      <c r="CW69" s="225"/>
      <c r="CX69" s="225"/>
      <c r="CY69" s="225"/>
      <c r="CZ69" s="225"/>
      <c r="DA69" s="225"/>
      <c r="DB69" s="225"/>
      <c r="DC69" s="225"/>
      <c r="DD69" s="225"/>
      <c r="DE69" s="225"/>
      <c r="DF69" s="225"/>
      <c r="DG69" s="225"/>
      <c r="DH69" s="225"/>
      <c r="DI69" s="225"/>
      <c r="DJ69" s="225"/>
      <c r="DK69" s="225"/>
      <c r="DL69" s="225"/>
      <c r="DM69" s="225"/>
      <c r="DN69" s="225"/>
      <c r="DO69" s="225"/>
      <c r="DP69" s="225"/>
      <c r="DQ69" s="225"/>
      <c r="DR69" s="225"/>
      <c r="DS69" s="225"/>
      <c r="DT69" s="225"/>
      <c r="DU69" s="225"/>
      <c r="DV69" s="225"/>
      <c r="DW69" s="225"/>
      <c r="DX69" s="225"/>
      <c r="DY69" s="225"/>
      <c r="DZ69" s="225"/>
      <c r="EA69" s="225"/>
      <c r="EB69" s="225"/>
      <c r="EC69" s="225"/>
      <c r="ED69" s="225"/>
      <c r="EE69" s="225"/>
      <c r="EF69" s="225"/>
      <c r="EG69" s="225"/>
      <c r="EH69" s="225"/>
      <c r="EI69" s="225"/>
      <c r="EJ69" s="225"/>
      <c r="EK69" s="225"/>
      <c r="EL69" s="225"/>
      <c r="EM69" s="225"/>
      <c r="EN69" s="225"/>
      <c r="EO69" s="225"/>
      <c r="EP69" s="225"/>
      <c r="EQ69" s="225"/>
      <c r="ER69" s="225"/>
      <c r="ES69" s="225"/>
      <c r="ET69" s="225"/>
      <c r="EU69" s="225"/>
      <c r="EV69" s="225"/>
      <c r="EW69" s="225"/>
      <c r="EX69" s="225"/>
      <c r="EY69" s="225"/>
      <c r="EZ69" s="225"/>
      <c r="FA69" s="225"/>
      <c r="FB69" s="225"/>
      <c r="FC69" s="225"/>
      <c r="FD69" s="225"/>
      <c r="FE69" s="225"/>
      <c r="FF69" s="225"/>
      <c r="FG69" s="225"/>
      <c r="FH69" s="225"/>
      <c r="FI69" s="225"/>
      <c r="FJ69" s="225"/>
      <c r="FK69" s="225"/>
      <c r="FL69" s="225"/>
      <c r="FM69" s="225"/>
      <c r="FN69" s="225"/>
      <c r="FO69" s="225"/>
      <c r="FP69" s="225"/>
      <c r="FQ69" s="225"/>
      <c r="FR69" s="225"/>
      <c r="FS69" s="225"/>
      <c r="FT69" s="225"/>
      <c r="FU69" s="225"/>
      <c r="FV69" s="225"/>
      <c r="FW69" s="225"/>
      <c r="FX69" s="225"/>
      <c r="FY69" s="225"/>
      <c r="FZ69" s="225"/>
      <c r="GA69" s="225"/>
      <c r="GB69" s="225"/>
      <c r="GC69" s="225"/>
      <c r="GD69" s="225"/>
      <c r="GE69" s="225"/>
      <c r="GF69" s="225"/>
      <c r="GG69" s="225"/>
      <c r="GH69" s="225"/>
      <c r="GI69" s="225"/>
      <c r="GJ69" s="225"/>
      <c r="GK69" s="225"/>
      <c r="GL69" s="225"/>
      <c r="GM69" s="225"/>
      <c r="GN69" s="225"/>
      <c r="GO69" s="225"/>
      <c r="GP69" s="225"/>
      <c r="GQ69" s="225"/>
      <c r="GR69" s="225"/>
      <c r="GS69" s="225"/>
      <c r="GT69" s="225"/>
      <c r="GU69" s="225"/>
      <c r="GV69" s="225"/>
      <c r="GW69" s="225"/>
      <c r="GX69" s="225"/>
      <c r="GY69" s="225"/>
      <c r="GZ69" s="225"/>
      <c r="HA69" s="225"/>
      <c r="HB69" s="225"/>
      <c r="HC69" s="225"/>
      <c r="HD69" s="225"/>
      <c r="HE69" s="225"/>
      <c r="HF69" s="225"/>
      <c r="HG69" s="225"/>
      <c r="HH69" s="225"/>
      <c r="HI69" s="225"/>
      <c r="HJ69" s="225"/>
      <c r="HK69" s="225"/>
      <c r="HL69" s="225"/>
      <c r="HM69" s="225"/>
      <c r="HN69" s="225"/>
      <c r="HO69" s="225"/>
      <c r="HP69" s="225"/>
      <c r="HQ69" s="225"/>
      <c r="HR69" s="225"/>
      <c r="HS69" s="225"/>
      <c r="HT69" s="225"/>
      <c r="HU69" s="225"/>
      <c r="HV69" s="225"/>
      <c r="HW69" s="225"/>
    </row>
    <row r="70" spans="1:231" s="223" customFormat="1" ht="31.5">
      <c r="A70" s="10">
        <v>16</v>
      </c>
      <c r="B70" s="62" t="s">
        <v>296</v>
      </c>
      <c r="C70" s="228" t="s">
        <v>17</v>
      </c>
      <c r="D70" s="3">
        <v>2017</v>
      </c>
      <c r="E70" s="3">
        <v>2019</v>
      </c>
      <c r="F70" s="224" t="s">
        <v>297</v>
      </c>
      <c r="G70" s="220">
        <v>3500</v>
      </c>
      <c r="H70" s="220">
        <v>3500</v>
      </c>
      <c r="I70" s="220">
        <v>950</v>
      </c>
      <c r="J70" s="220">
        <v>950</v>
      </c>
      <c r="K70" s="204">
        <v>1100</v>
      </c>
      <c r="L70" s="36" t="s">
        <v>871</v>
      </c>
      <c r="M70" s="221"/>
      <c r="N70" s="230">
        <f t="shared" si="8"/>
        <v>2050</v>
      </c>
      <c r="P70" s="172">
        <f t="shared" si="3"/>
        <v>2050</v>
      </c>
      <c r="Q70" s="172">
        <f t="shared" si="4"/>
        <v>2050</v>
      </c>
    </row>
    <row r="71" spans="1:231" s="223" customFormat="1" ht="28.5" customHeight="1">
      <c r="A71" s="10">
        <v>17</v>
      </c>
      <c r="B71" s="62" t="s">
        <v>255</v>
      </c>
      <c r="C71" s="229" t="s">
        <v>46</v>
      </c>
      <c r="D71" s="3">
        <v>2017</v>
      </c>
      <c r="E71" s="3">
        <v>2019</v>
      </c>
      <c r="F71" s="219" t="s">
        <v>256</v>
      </c>
      <c r="G71" s="35">
        <v>3637</v>
      </c>
      <c r="H71" s="35">
        <v>3637</v>
      </c>
      <c r="I71" s="220">
        <v>995</v>
      </c>
      <c r="J71" s="220">
        <v>995</v>
      </c>
      <c r="K71" s="204">
        <v>1139</v>
      </c>
      <c r="L71" s="36" t="s">
        <v>872</v>
      </c>
      <c r="M71" s="221"/>
      <c r="N71" s="230">
        <f t="shared" si="8"/>
        <v>2134</v>
      </c>
      <c r="O71" s="225"/>
      <c r="P71" s="172">
        <f t="shared" si="3"/>
        <v>2134</v>
      </c>
      <c r="Q71" s="172">
        <f t="shared" si="4"/>
        <v>2134</v>
      </c>
      <c r="R71" s="225"/>
      <c r="S71" s="225"/>
      <c r="T71" s="225"/>
      <c r="U71" s="225"/>
      <c r="V71" s="225"/>
      <c r="W71" s="225"/>
      <c r="X71" s="225"/>
      <c r="Y71" s="225"/>
      <c r="Z71" s="225"/>
      <c r="AA71" s="225"/>
      <c r="AB71" s="225"/>
      <c r="AC71" s="225"/>
      <c r="AD71" s="225"/>
      <c r="AE71" s="225"/>
      <c r="AF71" s="225"/>
      <c r="AG71" s="225"/>
      <c r="AH71" s="225"/>
      <c r="AI71" s="225"/>
      <c r="AJ71" s="225"/>
      <c r="AK71" s="225"/>
      <c r="AL71" s="225"/>
      <c r="AM71" s="225"/>
      <c r="AN71" s="225"/>
      <c r="AO71" s="225"/>
      <c r="AP71" s="225"/>
      <c r="AQ71" s="225"/>
      <c r="AR71" s="225"/>
      <c r="AS71" s="225"/>
      <c r="AT71" s="225"/>
      <c r="AU71" s="225"/>
      <c r="AV71" s="225"/>
      <c r="AW71" s="225"/>
      <c r="AX71" s="225"/>
      <c r="AY71" s="225"/>
      <c r="AZ71" s="225"/>
      <c r="BA71" s="225"/>
      <c r="BB71" s="225"/>
      <c r="BC71" s="225"/>
      <c r="BD71" s="225"/>
      <c r="BE71" s="225"/>
      <c r="BF71" s="225"/>
      <c r="BG71" s="225"/>
      <c r="BH71" s="225"/>
      <c r="BI71" s="225"/>
      <c r="BJ71" s="225"/>
      <c r="BK71" s="225"/>
      <c r="BL71" s="225"/>
      <c r="BM71" s="225"/>
      <c r="BN71" s="225"/>
      <c r="BO71" s="225"/>
      <c r="BP71" s="225"/>
      <c r="BQ71" s="225"/>
      <c r="BR71" s="225"/>
      <c r="BS71" s="225"/>
      <c r="BT71" s="225"/>
      <c r="BU71" s="225"/>
      <c r="BV71" s="225"/>
      <c r="BW71" s="225"/>
      <c r="BX71" s="225"/>
      <c r="BY71" s="225"/>
      <c r="BZ71" s="225"/>
      <c r="CA71" s="225"/>
      <c r="CB71" s="225"/>
      <c r="CC71" s="225"/>
      <c r="CD71" s="225"/>
      <c r="CE71" s="225"/>
      <c r="CF71" s="225"/>
      <c r="CG71" s="225"/>
      <c r="CH71" s="225"/>
      <c r="CI71" s="225"/>
      <c r="CJ71" s="225"/>
      <c r="CK71" s="225"/>
      <c r="CL71" s="225"/>
      <c r="CM71" s="225"/>
      <c r="CN71" s="225"/>
      <c r="CO71" s="225"/>
      <c r="CP71" s="225"/>
      <c r="CQ71" s="225"/>
      <c r="CR71" s="225"/>
      <c r="CS71" s="225"/>
      <c r="CT71" s="225"/>
      <c r="CU71" s="225"/>
      <c r="CV71" s="225"/>
      <c r="CW71" s="225"/>
      <c r="CX71" s="225"/>
      <c r="CY71" s="225"/>
      <c r="CZ71" s="225"/>
      <c r="DA71" s="225"/>
      <c r="DB71" s="225"/>
      <c r="DC71" s="225"/>
      <c r="DD71" s="225"/>
      <c r="DE71" s="225"/>
      <c r="DF71" s="225"/>
      <c r="DG71" s="225"/>
      <c r="DH71" s="225"/>
      <c r="DI71" s="225"/>
      <c r="DJ71" s="225"/>
      <c r="DK71" s="225"/>
      <c r="DL71" s="225"/>
      <c r="DM71" s="225"/>
      <c r="DN71" s="225"/>
      <c r="DO71" s="225"/>
      <c r="DP71" s="225"/>
      <c r="DQ71" s="225"/>
      <c r="DR71" s="225"/>
      <c r="DS71" s="225"/>
      <c r="DT71" s="225"/>
      <c r="DU71" s="225"/>
      <c r="DV71" s="225"/>
      <c r="DW71" s="225"/>
      <c r="DX71" s="225"/>
      <c r="DY71" s="225"/>
      <c r="DZ71" s="225"/>
      <c r="EA71" s="225"/>
      <c r="EB71" s="225"/>
      <c r="EC71" s="225"/>
      <c r="ED71" s="225"/>
      <c r="EE71" s="225"/>
      <c r="EF71" s="225"/>
      <c r="EG71" s="225"/>
      <c r="EH71" s="225"/>
      <c r="EI71" s="225"/>
      <c r="EJ71" s="225"/>
      <c r="EK71" s="225"/>
      <c r="EL71" s="225"/>
      <c r="EM71" s="225"/>
      <c r="EN71" s="225"/>
      <c r="EO71" s="225"/>
      <c r="EP71" s="225"/>
      <c r="EQ71" s="225"/>
      <c r="ER71" s="225"/>
      <c r="ES71" s="225"/>
      <c r="ET71" s="225"/>
      <c r="EU71" s="225"/>
      <c r="EV71" s="225"/>
      <c r="EW71" s="225"/>
      <c r="EX71" s="225"/>
      <c r="EY71" s="225"/>
      <c r="EZ71" s="225"/>
      <c r="FA71" s="225"/>
      <c r="FB71" s="225"/>
      <c r="FC71" s="225"/>
      <c r="FD71" s="225"/>
      <c r="FE71" s="225"/>
      <c r="FF71" s="225"/>
      <c r="FG71" s="225"/>
      <c r="FH71" s="225"/>
      <c r="FI71" s="225"/>
      <c r="FJ71" s="225"/>
      <c r="FK71" s="225"/>
      <c r="FL71" s="225"/>
      <c r="FM71" s="225"/>
      <c r="FN71" s="225"/>
      <c r="FO71" s="225"/>
      <c r="FP71" s="225"/>
      <c r="FQ71" s="225"/>
      <c r="FR71" s="225"/>
      <c r="FS71" s="225"/>
      <c r="FT71" s="225"/>
      <c r="FU71" s="225"/>
      <c r="FV71" s="225"/>
      <c r="FW71" s="225"/>
      <c r="FX71" s="225"/>
      <c r="FY71" s="225"/>
      <c r="FZ71" s="225"/>
      <c r="GA71" s="225"/>
      <c r="GB71" s="225"/>
      <c r="GC71" s="225"/>
      <c r="GD71" s="225"/>
      <c r="GE71" s="225"/>
      <c r="GF71" s="225"/>
      <c r="GG71" s="225"/>
      <c r="GH71" s="225"/>
      <c r="GI71" s="225"/>
      <c r="GJ71" s="225"/>
      <c r="GK71" s="225"/>
      <c r="GL71" s="225"/>
      <c r="GM71" s="225"/>
      <c r="GN71" s="225"/>
      <c r="GO71" s="225"/>
      <c r="GP71" s="225"/>
      <c r="GQ71" s="225"/>
      <c r="GR71" s="225"/>
      <c r="GS71" s="225"/>
      <c r="GT71" s="225"/>
      <c r="GU71" s="225"/>
      <c r="GV71" s="225"/>
      <c r="GW71" s="225"/>
      <c r="GX71" s="225"/>
      <c r="GY71" s="225"/>
      <c r="GZ71" s="225"/>
      <c r="HA71" s="225"/>
      <c r="HB71" s="225"/>
      <c r="HC71" s="225"/>
      <c r="HD71" s="225"/>
      <c r="HE71" s="225"/>
      <c r="HF71" s="225"/>
      <c r="HG71" s="225"/>
      <c r="HH71" s="225"/>
      <c r="HI71" s="225"/>
      <c r="HJ71" s="225"/>
      <c r="HK71" s="225"/>
      <c r="HL71" s="225"/>
      <c r="HM71" s="225"/>
      <c r="HN71" s="225"/>
      <c r="HO71" s="225"/>
      <c r="HP71" s="225"/>
      <c r="HQ71" s="225"/>
      <c r="HR71" s="225"/>
      <c r="HS71" s="225"/>
      <c r="HT71" s="225"/>
      <c r="HU71" s="225"/>
      <c r="HV71" s="225"/>
      <c r="HW71" s="225"/>
    </row>
    <row r="72" spans="1:231" s="223" customFormat="1" ht="31.5">
      <c r="A72" s="10">
        <v>18</v>
      </c>
      <c r="B72" s="62" t="s">
        <v>260</v>
      </c>
      <c r="C72" s="218" t="s">
        <v>10</v>
      </c>
      <c r="D72" s="3">
        <v>2017</v>
      </c>
      <c r="E72" s="3">
        <v>2019</v>
      </c>
      <c r="F72" s="224" t="s">
        <v>488</v>
      </c>
      <c r="G72" s="220">
        <v>3710</v>
      </c>
      <c r="H72" s="220">
        <v>3710</v>
      </c>
      <c r="I72" s="220">
        <v>1050</v>
      </c>
      <c r="J72" s="220">
        <v>1050</v>
      </c>
      <c r="K72" s="204">
        <v>1144</v>
      </c>
      <c r="L72" s="11" t="s">
        <v>873</v>
      </c>
      <c r="M72" s="173"/>
      <c r="N72" s="230">
        <f t="shared" si="8"/>
        <v>2194</v>
      </c>
      <c r="O72" s="225"/>
      <c r="P72" s="172">
        <f t="shared" si="3"/>
        <v>2194</v>
      </c>
      <c r="Q72" s="172">
        <f t="shared" si="4"/>
        <v>2194</v>
      </c>
      <c r="R72" s="225"/>
      <c r="S72" s="225"/>
      <c r="T72" s="225"/>
      <c r="U72" s="225"/>
      <c r="V72" s="225"/>
      <c r="W72" s="225"/>
      <c r="X72" s="225"/>
      <c r="Y72" s="225"/>
      <c r="Z72" s="225"/>
      <c r="AA72" s="225"/>
      <c r="AB72" s="225"/>
      <c r="AC72" s="225"/>
      <c r="AD72" s="225"/>
      <c r="AE72" s="225"/>
      <c r="AF72" s="225"/>
      <c r="AG72" s="225"/>
      <c r="AH72" s="225"/>
      <c r="AI72" s="225"/>
      <c r="AJ72" s="225"/>
      <c r="AK72" s="225"/>
      <c r="AL72" s="225"/>
      <c r="AM72" s="225"/>
      <c r="AN72" s="225"/>
      <c r="AO72" s="225"/>
      <c r="AP72" s="225"/>
      <c r="AQ72" s="225"/>
      <c r="AR72" s="225"/>
      <c r="AS72" s="225"/>
      <c r="AT72" s="225"/>
      <c r="AU72" s="225"/>
      <c r="AV72" s="225"/>
      <c r="AW72" s="225"/>
      <c r="AX72" s="225"/>
      <c r="AY72" s="225"/>
      <c r="AZ72" s="225"/>
      <c r="BA72" s="225"/>
      <c r="BB72" s="225"/>
      <c r="BC72" s="225"/>
      <c r="BD72" s="225"/>
      <c r="BE72" s="225"/>
      <c r="BF72" s="225"/>
      <c r="BG72" s="225"/>
      <c r="BH72" s="225"/>
      <c r="BI72" s="225"/>
      <c r="BJ72" s="225"/>
      <c r="BK72" s="225"/>
      <c r="BL72" s="225"/>
      <c r="BM72" s="225"/>
      <c r="BN72" s="225"/>
      <c r="BO72" s="225"/>
      <c r="BP72" s="225"/>
      <c r="BQ72" s="225"/>
      <c r="BR72" s="225"/>
      <c r="BS72" s="225"/>
      <c r="BT72" s="225"/>
      <c r="BU72" s="225"/>
      <c r="BV72" s="225"/>
      <c r="BW72" s="225"/>
      <c r="BX72" s="225"/>
      <c r="BY72" s="225"/>
      <c r="BZ72" s="225"/>
      <c r="CA72" s="225"/>
      <c r="CB72" s="225"/>
      <c r="CC72" s="225"/>
      <c r="CD72" s="225"/>
      <c r="CE72" s="225"/>
      <c r="CF72" s="225"/>
      <c r="CG72" s="225"/>
      <c r="CH72" s="225"/>
      <c r="CI72" s="225"/>
      <c r="CJ72" s="225"/>
      <c r="CK72" s="225"/>
      <c r="CL72" s="225"/>
      <c r="CM72" s="225"/>
      <c r="CN72" s="225"/>
      <c r="CO72" s="225"/>
      <c r="CP72" s="225"/>
      <c r="CQ72" s="225"/>
      <c r="CR72" s="225"/>
      <c r="CS72" s="225"/>
      <c r="CT72" s="225"/>
      <c r="CU72" s="225"/>
      <c r="CV72" s="225"/>
      <c r="CW72" s="225"/>
      <c r="CX72" s="225"/>
      <c r="CY72" s="225"/>
      <c r="CZ72" s="225"/>
      <c r="DA72" s="225"/>
      <c r="DB72" s="225"/>
      <c r="DC72" s="225"/>
      <c r="DD72" s="225"/>
      <c r="DE72" s="225"/>
      <c r="DF72" s="225"/>
      <c r="DG72" s="225"/>
      <c r="DH72" s="225"/>
      <c r="DI72" s="225"/>
      <c r="DJ72" s="225"/>
      <c r="DK72" s="225"/>
      <c r="DL72" s="225"/>
      <c r="DM72" s="225"/>
      <c r="DN72" s="225"/>
      <c r="DO72" s="225"/>
      <c r="DP72" s="225"/>
      <c r="DQ72" s="225"/>
      <c r="DR72" s="225"/>
      <c r="DS72" s="225"/>
      <c r="DT72" s="225"/>
      <c r="DU72" s="225"/>
      <c r="DV72" s="225"/>
      <c r="DW72" s="225"/>
      <c r="DX72" s="225"/>
      <c r="DY72" s="225"/>
      <c r="DZ72" s="225"/>
      <c r="EA72" s="225"/>
      <c r="EB72" s="225"/>
      <c r="EC72" s="225"/>
      <c r="ED72" s="225"/>
      <c r="EE72" s="225"/>
      <c r="EF72" s="225"/>
      <c r="EG72" s="225"/>
      <c r="EH72" s="225"/>
      <c r="EI72" s="225"/>
      <c r="EJ72" s="225"/>
      <c r="EK72" s="225"/>
      <c r="EL72" s="225"/>
      <c r="EM72" s="225"/>
      <c r="EN72" s="225"/>
      <c r="EO72" s="225"/>
      <c r="EP72" s="225"/>
      <c r="EQ72" s="225"/>
      <c r="ER72" s="225"/>
      <c r="ES72" s="225"/>
      <c r="ET72" s="225"/>
      <c r="EU72" s="225"/>
      <c r="EV72" s="225"/>
      <c r="EW72" s="225"/>
      <c r="EX72" s="225"/>
      <c r="EY72" s="225"/>
      <c r="EZ72" s="225"/>
      <c r="FA72" s="225"/>
      <c r="FB72" s="225"/>
      <c r="FC72" s="225"/>
      <c r="FD72" s="225"/>
      <c r="FE72" s="225"/>
      <c r="FF72" s="225"/>
      <c r="FG72" s="225"/>
      <c r="FH72" s="225"/>
      <c r="FI72" s="225"/>
      <c r="FJ72" s="225"/>
      <c r="FK72" s="225"/>
      <c r="FL72" s="225"/>
      <c r="FM72" s="225"/>
      <c r="FN72" s="225"/>
      <c r="FO72" s="225"/>
      <c r="FP72" s="225"/>
      <c r="FQ72" s="225"/>
      <c r="FR72" s="225"/>
      <c r="FS72" s="225"/>
      <c r="FT72" s="225"/>
      <c r="FU72" s="225"/>
      <c r="FV72" s="225"/>
      <c r="FW72" s="225"/>
      <c r="FX72" s="225"/>
      <c r="FY72" s="225"/>
      <c r="FZ72" s="225"/>
      <c r="GA72" s="225"/>
      <c r="GB72" s="225"/>
      <c r="GC72" s="225"/>
      <c r="GD72" s="225"/>
      <c r="GE72" s="225"/>
      <c r="GF72" s="225"/>
      <c r="GG72" s="225"/>
      <c r="GH72" s="225"/>
      <c r="GI72" s="225"/>
      <c r="GJ72" s="225"/>
      <c r="GK72" s="225"/>
      <c r="GL72" s="225"/>
      <c r="GM72" s="225"/>
      <c r="GN72" s="225"/>
      <c r="GO72" s="225"/>
      <c r="GP72" s="225"/>
      <c r="GQ72" s="225"/>
      <c r="GR72" s="225"/>
      <c r="GS72" s="225"/>
      <c r="GT72" s="225"/>
      <c r="GU72" s="225"/>
      <c r="GV72" s="225"/>
      <c r="GW72" s="225"/>
      <c r="GX72" s="225"/>
      <c r="GY72" s="225"/>
      <c r="GZ72" s="225"/>
      <c r="HA72" s="225"/>
      <c r="HB72" s="225"/>
      <c r="HC72" s="225"/>
      <c r="HD72" s="225"/>
      <c r="HE72" s="225"/>
      <c r="HF72" s="225"/>
      <c r="HG72" s="225"/>
      <c r="HH72" s="225"/>
      <c r="HI72" s="225"/>
      <c r="HJ72" s="225"/>
      <c r="HK72" s="225"/>
      <c r="HL72" s="225"/>
      <c r="HM72" s="225"/>
      <c r="HN72" s="225"/>
      <c r="HO72" s="225"/>
      <c r="HP72" s="225"/>
      <c r="HQ72" s="225"/>
      <c r="HR72" s="225"/>
      <c r="HS72" s="225"/>
      <c r="HT72" s="225"/>
      <c r="HU72" s="225"/>
      <c r="HV72" s="225"/>
      <c r="HW72" s="225"/>
    </row>
    <row r="73" spans="1:231" s="223" customFormat="1" ht="31.5">
      <c r="A73" s="10">
        <v>19</v>
      </c>
      <c r="B73" s="62" t="s">
        <v>300</v>
      </c>
      <c r="C73" s="218" t="s">
        <v>10</v>
      </c>
      <c r="D73" s="3">
        <v>2017</v>
      </c>
      <c r="E73" s="3">
        <v>2019</v>
      </c>
      <c r="F73" s="224" t="s">
        <v>301</v>
      </c>
      <c r="G73" s="220">
        <v>3500</v>
      </c>
      <c r="H73" s="220">
        <v>3500</v>
      </c>
      <c r="I73" s="220">
        <v>800</v>
      </c>
      <c r="J73" s="220">
        <v>800</v>
      </c>
      <c r="K73" s="204">
        <v>1175</v>
      </c>
      <c r="L73" s="36" t="s">
        <v>874</v>
      </c>
      <c r="M73" s="221"/>
      <c r="N73" s="230">
        <f t="shared" si="8"/>
        <v>1975</v>
      </c>
      <c r="P73" s="172">
        <f t="shared" si="3"/>
        <v>1975</v>
      </c>
      <c r="Q73" s="172">
        <f t="shared" si="4"/>
        <v>1975</v>
      </c>
    </row>
    <row r="74" spans="1:231" s="223" customFormat="1" ht="36.75" customHeight="1">
      <c r="A74" s="10">
        <v>20</v>
      </c>
      <c r="B74" s="23" t="s">
        <v>875</v>
      </c>
      <c r="C74" s="218" t="s">
        <v>10</v>
      </c>
      <c r="D74" s="3">
        <v>2017</v>
      </c>
      <c r="E74" s="3">
        <v>2019</v>
      </c>
      <c r="F74" s="185" t="s">
        <v>279</v>
      </c>
      <c r="G74" s="220">
        <v>3859</v>
      </c>
      <c r="H74" s="220">
        <v>3859</v>
      </c>
      <c r="I74" s="220">
        <v>1050</v>
      </c>
      <c r="J74" s="220">
        <v>1050</v>
      </c>
      <c r="K74" s="204">
        <v>1211</v>
      </c>
      <c r="L74" s="36" t="s">
        <v>876</v>
      </c>
      <c r="M74" s="221"/>
      <c r="N74" s="230">
        <f t="shared" si="8"/>
        <v>2261</v>
      </c>
      <c r="P74" s="172">
        <f t="shared" si="3"/>
        <v>2261</v>
      </c>
      <c r="Q74" s="172">
        <f t="shared" si="4"/>
        <v>2261</v>
      </c>
    </row>
    <row r="75" spans="1:231" s="225" customFormat="1" ht="31.5">
      <c r="A75" s="10">
        <v>21</v>
      </c>
      <c r="B75" s="62" t="s">
        <v>253</v>
      </c>
      <c r="C75" s="218" t="s">
        <v>10</v>
      </c>
      <c r="D75" s="3">
        <v>2017</v>
      </c>
      <c r="E75" s="3">
        <v>2019</v>
      </c>
      <c r="F75" s="219" t="s">
        <v>254</v>
      </c>
      <c r="G75" s="35">
        <v>3891</v>
      </c>
      <c r="H75" s="35">
        <v>3891</v>
      </c>
      <c r="I75" s="220">
        <v>1050</v>
      </c>
      <c r="J75" s="220">
        <v>1050</v>
      </c>
      <c r="K75" s="204">
        <v>1226</v>
      </c>
      <c r="L75" s="36" t="s">
        <v>877</v>
      </c>
      <c r="M75" s="221"/>
      <c r="N75" s="230">
        <f t="shared" si="8"/>
        <v>2276</v>
      </c>
      <c r="O75" s="223"/>
      <c r="P75" s="172">
        <f t="shared" si="3"/>
        <v>2276</v>
      </c>
      <c r="Q75" s="172">
        <f t="shared" si="4"/>
        <v>2276</v>
      </c>
      <c r="R75" s="223"/>
      <c r="S75" s="223"/>
      <c r="T75" s="223"/>
      <c r="U75" s="223"/>
      <c r="V75" s="223"/>
      <c r="W75" s="223"/>
      <c r="X75" s="223"/>
      <c r="Y75" s="223"/>
      <c r="Z75" s="223"/>
      <c r="AA75" s="223"/>
      <c r="AB75" s="223"/>
      <c r="AC75" s="223"/>
      <c r="AD75" s="223"/>
      <c r="AE75" s="223"/>
      <c r="AF75" s="223"/>
      <c r="AG75" s="223"/>
      <c r="AH75" s="223"/>
      <c r="AI75" s="223"/>
      <c r="AJ75" s="223"/>
      <c r="AK75" s="223"/>
      <c r="AL75" s="223"/>
      <c r="AM75" s="223"/>
      <c r="AN75" s="223"/>
      <c r="AO75" s="223"/>
      <c r="AP75" s="223"/>
      <c r="AQ75" s="223"/>
      <c r="AR75" s="223"/>
      <c r="AS75" s="223"/>
      <c r="AT75" s="223"/>
      <c r="AU75" s="223"/>
      <c r="AV75" s="223"/>
      <c r="AW75" s="223"/>
      <c r="AX75" s="223"/>
      <c r="AY75" s="223"/>
      <c r="AZ75" s="223"/>
      <c r="BA75" s="223"/>
      <c r="BB75" s="223"/>
      <c r="BC75" s="223"/>
      <c r="BD75" s="223"/>
      <c r="BE75" s="223"/>
      <c r="BF75" s="223"/>
      <c r="BG75" s="223"/>
      <c r="BH75" s="223"/>
      <c r="BI75" s="223"/>
      <c r="BJ75" s="223"/>
      <c r="BK75" s="223"/>
      <c r="BL75" s="223"/>
      <c r="BM75" s="223"/>
      <c r="BN75" s="223"/>
      <c r="BO75" s="223"/>
      <c r="BP75" s="223"/>
      <c r="BQ75" s="223"/>
      <c r="BR75" s="223"/>
      <c r="BS75" s="223"/>
      <c r="BT75" s="223"/>
      <c r="BU75" s="223"/>
      <c r="BV75" s="223"/>
      <c r="BW75" s="223"/>
      <c r="BX75" s="223"/>
      <c r="BY75" s="223"/>
      <c r="BZ75" s="223"/>
      <c r="CA75" s="223"/>
      <c r="CB75" s="223"/>
      <c r="CC75" s="223"/>
      <c r="CD75" s="223"/>
      <c r="CE75" s="223"/>
      <c r="CF75" s="223"/>
      <c r="CG75" s="223"/>
      <c r="CH75" s="223"/>
      <c r="CI75" s="223"/>
      <c r="CJ75" s="223"/>
      <c r="CK75" s="223"/>
      <c r="CL75" s="223"/>
      <c r="CM75" s="223"/>
      <c r="CN75" s="223"/>
      <c r="CO75" s="223"/>
      <c r="CP75" s="223"/>
      <c r="CQ75" s="223"/>
      <c r="CR75" s="223"/>
      <c r="CS75" s="223"/>
      <c r="CT75" s="223"/>
      <c r="CU75" s="223"/>
      <c r="CV75" s="223"/>
      <c r="CW75" s="223"/>
      <c r="CX75" s="223"/>
      <c r="CY75" s="223"/>
      <c r="CZ75" s="223"/>
      <c r="DA75" s="223"/>
      <c r="DB75" s="223"/>
      <c r="DC75" s="223"/>
      <c r="DD75" s="223"/>
      <c r="DE75" s="223"/>
      <c r="DF75" s="223"/>
      <c r="DG75" s="223"/>
      <c r="DH75" s="223"/>
      <c r="DI75" s="223"/>
      <c r="DJ75" s="223"/>
      <c r="DK75" s="223"/>
      <c r="DL75" s="223"/>
      <c r="DM75" s="223"/>
      <c r="DN75" s="223"/>
      <c r="DO75" s="223"/>
      <c r="DP75" s="223"/>
      <c r="DQ75" s="223"/>
      <c r="DR75" s="223"/>
      <c r="DS75" s="223"/>
      <c r="DT75" s="223"/>
      <c r="DU75" s="223"/>
      <c r="DV75" s="223"/>
      <c r="DW75" s="223"/>
      <c r="DX75" s="223"/>
      <c r="DY75" s="223"/>
      <c r="DZ75" s="223"/>
      <c r="EA75" s="223"/>
      <c r="EB75" s="223"/>
      <c r="EC75" s="223"/>
      <c r="ED75" s="223"/>
      <c r="EE75" s="223"/>
      <c r="EF75" s="223"/>
      <c r="EG75" s="223"/>
      <c r="EH75" s="223"/>
      <c r="EI75" s="223"/>
      <c r="EJ75" s="223"/>
      <c r="EK75" s="223"/>
      <c r="EL75" s="223"/>
      <c r="EM75" s="223"/>
      <c r="EN75" s="223"/>
      <c r="EO75" s="223"/>
      <c r="EP75" s="223"/>
      <c r="EQ75" s="223"/>
      <c r="ER75" s="223"/>
      <c r="ES75" s="223"/>
      <c r="ET75" s="223"/>
      <c r="EU75" s="223"/>
      <c r="EV75" s="223"/>
      <c r="EW75" s="223"/>
      <c r="EX75" s="223"/>
      <c r="EY75" s="223"/>
      <c r="EZ75" s="223"/>
      <c r="FA75" s="223"/>
      <c r="FB75" s="223"/>
      <c r="FC75" s="223"/>
      <c r="FD75" s="223"/>
      <c r="FE75" s="223"/>
      <c r="FF75" s="223"/>
      <c r="FG75" s="223"/>
      <c r="FH75" s="223"/>
      <c r="FI75" s="223"/>
      <c r="FJ75" s="223"/>
      <c r="FK75" s="223"/>
      <c r="FL75" s="223"/>
      <c r="FM75" s="223"/>
      <c r="FN75" s="223"/>
      <c r="FO75" s="223"/>
      <c r="FP75" s="223"/>
      <c r="FQ75" s="223"/>
      <c r="FR75" s="223"/>
      <c r="FS75" s="223"/>
      <c r="FT75" s="223"/>
      <c r="FU75" s="223"/>
      <c r="FV75" s="223"/>
      <c r="FW75" s="223"/>
      <c r="FX75" s="223"/>
      <c r="FY75" s="223"/>
      <c r="FZ75" s="223"/>
      <c r="GA75" s="223"/>
      <c r="GB75" s="223"/>
      <c r="GC75" s="223"/>
      <c r="GD75" s="223"/>
      <c r="GE75" s="223"/>
      <c r="GF75" s="223"/>
      <c r="GG75" s="223"/>
      <c r="GH75" s="223"/>
      <c r="GI75" s="223"/>
      <c r="GJ75" s="223"/>
      <c r="GK75" s="223"/>
      <c r="GL75" s="223"/>
      <c r="GM75" s="223"/>
      <c r="GN75" s="223"/>
      <c r="GO75" s="223"/>
      <c r="GP75" s="223"/>
      <c r="GQ75" s="223"/>
      <c r="GR75" s="223"/>
      <c r="GS75" s="223"/>
      <c r="GT75" s="223"/>
      <c r="GU75" s="223"/>
      <c r="GV75" s="223"/>
      <c r="GW75" s="223"/>
      <c r="GX75" s="223"/>
      <c r="GY75" s="223"/>
      <c r="GZ75" s="223"/>
      <c r="HA75" s="223"/>
      <c r="HB75" s="223"/>
      <c r="HC75" s="223"/>
      <c r="HD75" s="223"/>
      <c r="HE75" s="223"/>
      <c r="HF75" s="223"/>
      <c r="HG75" s="223"/>
      <c r="HH75" s="223"/>
      <c r="HI75" s="223"/>
      <c r="HJ75" s="223"/>
      <c r="HK75" s="223"/>
      <c r="HL75" s="223"/>
      <c r="HM75" s="223"/>
      <c r="HN75" s="223"/>
      <c r="HO75" s="223"/>
      <c r="HP75" s="223"/>
      <c r="HQ75" s="223"/>
      <c r="HR75" s="223"/>
      <c r="HS75" s="223"/>
      <c r="HT75" s="223"/>
      <c r="HU75" s="223"/>
      <c r="HV75" s="223"/>
      <c r="HW75" s="223"/>
    </row>
    <row r="76" spans="1:231" s="223" customFormat="1" ht="31.5">
      <c r="A76" s="10">
        <v>22</v>
      </c>
      <c r="B76" s="62" t="s">
        <v>288</v>
      </c>
      <c r="C76" s="236" t="s">
        <v>44</v>
      </c>
      <c r="D76" s="3">
        <v>2017</v>
      </c>
      <c r="E76" s="3">
        <v>2019</v>
      </c>
      <c r="F76" s="224" t="s">
        <v>289</v>
      </c>
      <c r="G76" s="220">
        <v>3843</v>
      </c>
      <c r="H76" s="220">
        <v>3843</v>
      </c>
      <c r="I76" s="220">
        <v>1000</v>
      </c>
      <c r="J76" s="220">
        <v>1000</v>
      </c>
      <c r="K76" s="204">
        <v>1229</v>
      </c>
      <c r="L76" s="36" t="s">
        <v>878</v>
      </c>
      <c r="M76" s="221"/>
      <c r="N76" s="230">
        <f t="shared" si="8"/>
        <v>2229</v>
      </c>
      <c r="P76" s="172">
        <f t="shared" si="3"/>
        <v>2229</v>
      </c>
      <c r="Q76" s="172">
        <f t="shared" si="4"/>
        <v>2229</v>
      </c>
    </row>
    <row r="77" spans="1:231" s="223" customFormat="1" ht="31.5">
      <c r="A77" s="10">
        <v>23</v>
      </c>
      <c r="B77" s="62" t="s">
        <v>879</v>
      </c>
      <c r="C77" s="218" t="s">
        <v>10</v>
      </c>
      <c r="D77" s="3">
        <v>2017</v>
      </c>
      <c r="E77" s="3">
        <v>2019</v>
      </c>
      <c r="F77" s="224" t="s">
        <v>302</v>
      </c>
      <c r="G77" s="220">
        <v>3900</v>
      </c>
      <c r="H77" s="220">
        <v>3900</v>
      </c>
      <c r="I77" s="220">
        <v>1050</v>
      </c>
      <c r="J77" s="220">
        <v>1050</v>
      </c>
      <c r="K77" s="204">
        <v>1230</v>
      </c>
      <c r="L77" s="36" t="s">
        <v>880</v>
      </c>
      <c r="M77" s="221"/>
      <c r="N77" s="230">
        <f t="shared" si="8"/>
        <v>2280</v>
      </c>
      <c r="P77" s="172">
        <f t="shared" si="3"/>
        <v>2280</v>
      </c>
      <c r="Q77" s="172">
        <f t="shared" si="4"/>
        <v>2280</v>
      </c>
    </row>
    <row r="78" spans="1:231" s="222" customFormat="1" ht="31.5">
      <c r="A78" s="10">
        <v>24</v>
      </c>
      <c r="B78" s="62" t="s">
        <v>309</v>
      </c>
      <c r="C78" s="229" t="s">
        <v>46</v>
      </c>
      <c r="D78" s="3">
        <v>2017</v>
      </c>
      <c r="E78" s="3">
        <v>2019</v>
      </c>
      <c r="F78" s="224" t="s">
        <v>310</v>
      </c>
      <c r="G78" s="220">
        <v>3852</v>
      </c>
      <c r="H78" s="220">
        <v>3852</v>
      </c>
      <c r="I78" s="220">
        <v>1000</v>
      </c>
      <c r="J78" s="220">
        <v>1000</v>
      </c>
      <c r="K78" s="204">
        <v>1233</v>
      </c>
      <c r="L78" s="36" t="s">
        <v>881</v>
      </c>
      <c r="M78" s="221"/>
      <c r="N78" s="230">
        <f t="shared" si="8"/>
        <v>2233</v>
      </c>
      <c r="O78" s="223"/>
      <c r="P78" s="172">
        <f t="shared" ref="P78:P141" si="9">I78+K78</f>
        <v>2233</v>
      </c>
      <c r="Q78" s="172">
        <f t="shared" ref="Q78:Q141" si="10">J78+K78</f>
        <v>2233</v>
      </c>
      <c r="R78" s="223"/>
      <c r="S78" s="223"/>
      <c r="T78" s="223"/>
      <c r="U78" s="223"/>
      <c r="V78" s="223"/>
      <c r="W78" s="223"/>
      <c r="X78" s="223"/>
      <c r="Y78" s="223"/>
      <c r="Z78" s="223"/>
      <c r="AA78" s="223"/>
      <c r="AB78" s="223"/>
      <c r="AC78" s="223"/>
      <c r="AD78" s="223"/>
      <c r="AE78" s="223"/>
      <c r="AF78" s="223"/>
      <c r="AG78" s="223"/>
      <c r="AH78" s="223"/>
      <c r="AI78" s="223"/>
      <c r="AJ78" s="223"/>
      <c r="AK78" s="223"/>
      <c r="AL78" s="223"/>
      <c r="AM78" s="223"/>
      <c r="AN78" s="223"/>
      <c r="AO78" s="223"/>
      <c r="AP78" s="223"/>
      <c r="AQ78" s="223"/>
      <c r="AR78" s="223"/>
      <c r="AS78" s="223"/>
      <c r="AT78" s="223"/>
      <c r="AU78" s="223"/>
      <c r="AV78" s="223"/>
      <c r="AW78" s="223"/>
      <c r="AX78" s="223"/>
      <c r="AY78" s="223"/>
      <c r="AZ78" s="223"/>
      <c r="BA78" s="223"/>
      <c r="BB78" s="223"/>
      <c r="BC78" s="223"/>
      <c r="BD78" s="223"/>
      <c r="BE78" s="223"/>
      <c r="BF78" s="223"/>
      <c r="BG78" s="223"/>
      <c r="BH78" s="223"/>
      <c r="BI78" s="223"/>
      <c r="BJ78" s="223"/>
      <c r="BK78" s="223"/>
      <c r="BL78" s="223"/>
      <c r="BM78" s="223"/>
      <c r="BN78" s="223"/>
      <c r="BO78" s="223"/>
      <c r="BP78" s="223"/>
      <c r="BQ78" s="223"/>
      <c r="BR78" s="223"/>
      <c r="BS78" s="223"/>
      <c r="BT78" s="223"/>
      <c r="BU78" s="223"/>
      <c r="BV78" s="223"/>
      <c r="BW78" s="223"/>
      <c r="BX78" s="223"/>
      <c r="BY78" s="223"/>
      <c r="BZ78" s="223"/>
      <c r="CA78" s="223"/>
      <c r="CB78" s="223"/>
      <c r="CC78" s="223"/>
      <c r="CD78" s="223"/>
      <c r="CE78" s="223"/>
      <c r="CF78" s="223"/>
      <c r="CG78" s="223"/>
      <c r="CH78" s="223"/>
      <c r="CI78" s="223"/>
      <c r="CJ78" s="223"/>
      <c r="CK78" s="223"/>
      <c r="CL78" s="223"/>
      <c r="CM78" s="223"/>
      <c r="CN78" s="223"/>
      <c r="CO78" s="223"/>
      <c r="CP78" s="223"/>
      <c r="CQ78" s="223"/>
      <c r="CR78" s="223"/>
      <c r="CS78" s="223"/>
      <c r="CT78" s="223"/>
      <c r="CU78" s="223"/>
      <c r="CV78" s="223"/>
      <c r="CW78" s="223"/>
      <c r="CX78" s="223"/>
      <c r="CY78" s="223"/>
      <c r="CZ78" s="223"/>
      <c r="DA78" s="223"/>
      <c r="DB78" s="223"/>
      <c r="DC78" s="223"/>
      <c r="DD78" s="223"/>
      <c r="DE78" s="223"/>
      <c r="DF78" s="223"/>
      <c r="DG78" s="223"/>
      <c r="DH78" s="223"/>
      <c r="DI78" s="223"/>
      <c r="DJ78" s="223"/>
      <c r="DK78" s="223"/>
      <c r="DL78" s="223"/>
      <c r="DM78" s="223"/>
      <c r="DN78" s="223"/>
      <c r="DO78" s="223"/>
      <c r="DP78" s="223"/>
      <c r="DQ78" s="223"/>
      <c r="DR78" s="223"/>
      <c r="DS78" s="223"/>
      <c r="DT78" s="223"/>
      <c r="DU78" s="223"/>
      <c r="DV78" s="223"/>
      <c r="DW78" s="223"/>
      <c r="DX78" s="223"/>
      <c r="DY78" s="223"/>
      <c r="DZ78" s="223"/>
      <c r="EA78" s="223"/>
      <c r="EB78" s="223"/>
      <c r="EC78" s="223"/>
      <c r="ED78" s="223"/>
      <c r="EE78" s="223"/>
      <c r="EF78" s="223"/>
      <c r="EG78" s="223"/>
      <c r="EH78" s="223"/>
      <c r="EI78" s="223"/>
      <c r="EJ78" s="223"/>
      <c r="EK78" s="223"/>
      <c r="EL78" s="223"/>
      <c r="EM78" s="223"/>
      <c r="EN78" s="223"/>
      <c r="EO78" s="223"/>
      <c r="EP78" s="223"/>
      <c r="EQ78" s="223"/>
      <c r="ER78" s="223"/>
      <c r="ES78" s="223"/>
      <c r="ET78" s="223"/>
      <c r="EU78" s="223"/>
      <c r="EV78" s="223"/>
      <c r="EW78" s="223"/>
      <c r="EX78" s="223"/>
      <c r="EY78" s="223"/>
      <c r="EZ78" s="223"/>
      <c r="FA78" s="223"/>
      <c r="FB78" s="223"/>
      <c r="FC78" s="223"/>
      <c r="FD78" s="223"/>
      <c r="FE78" s="223"/>
      <c r="FF78" s="223"/>
      <c r="FG78" s="223"/>
      <c r="FH78" s="223"/>
      <c r="FI78" s="223"/>
      <c r="FJ78" s="223"/>
      <c r="FK78" s="223"/>
      <c r="FL78" s="223"/>
      <c r="FM78" s="223"/>
      <c r="FN78" s="223"/>
      <c r="FO78" s="223"/>
      <c r="FP78" s="223"/>
      <c r="FQ78" s="223"/>
      <c r="FR78" s="223"/>
      <c r="FS78" s="223"/>
      <c r="FT78" s="223"/>
      <c r="FU78" s="223"/>
      <c r="FV78" s="223"/>
      <c r="FW78" s="223"/>
      <c r="FX78" s="223"/>
      <c r="FY78" s="223"/>
      <c r="FZ78" s="223"/>
      <c r="GA78" s="223"/>
      <c r="GB78" s="223"/>
      <c r="GC78" s="223"/>
      <c r="GD78" s="223"/>
      <c r="GE78" s="223"/>
      <c r="GF78" s="223"/>
      <c r="GG78" s="223"/>
      <c r="GH78" s="223"/>
      <c r="GI78" s="223"/>
      <c r="GJ78" s="223"/>
      <c r="GK78" s="223"/>
      <c r="GL78" s="223"/>
      <c r="GM78" s="223"/>
      <c r="GN78" s="223"/>
      <c r="GO78" s="223"/>
      <c r="GP78" s="223"/>
      <c r="GQ78" s="223"/>
      <c r="GR78" s="223"/>
      <c r="GS78" s="223"/>
      <c r="GT78" s="223"/>
      <c r="GU78" s="223"/>
      <c r="GV78" s="223"/>
      <c r="GW78" s="223"/>
      <c r="GX78" s="223"/>
      <c r="GY78" s="223"/>
      <c r="GZ78" s="223"/>
      <c r="HA78" s="223"/>
      <c r="HB78" s="223"/>
      <c r="HC78" s="223"/>
      <c r="HD78" s="223"/>
      <c r="HE78" s="223"/>
      <c r="HF78" s="223"/>
      <c r="HG78" s="223"/>
      <c r="HH78" s="223"/>
      <c r="HI78" s="223"/>
      <c r="HJ78" s="223"/>
      <c r="HK78" s="223"/>
      <c r="HL78" s="223"/>
      <c r="HM78" s="223"/>
      <c r="HN78" s="223"/>
      <c r="HO78" s="223"/>
      <c r="HP78" s="223"/>
      <c r="HQ78" s="223"/>
      <c r="HR78" s="223"/>
      <c r="HS78" s="223"/>
      <c r="HT78" s="223"/>
      <c r="HU78" s="223"/>
      <c r="HV78" s="223"/>
      <c r="HW78" s="223"/>
    </row>
    <row r="79" spans="1:231" s="223" customFormat="1" ht="31.5">
      <c r="A79" s="10">
        <v>25</v>
      </c>
      <c r="B79" s="62" t="s">
        <v>294</v>
      </c>
      <c r="C79" s="228" t="s">
        <v>17</v>
      </c>
      <c r="D79" s="3">
        <v>2017</v>
      </c>
      <c r="E79" s="3">
        <v>2019</v>
      </c>
      <c r="F79" s="185" t="s">
        <v>295</v>
      </c>
      <c r="G79" s="220">
        <v>3861</v>
      </c>
      <c r="H79" s="220">
        <v>3861</v>
      </c>
      <c r="I79" s="220">
        <v>1000</v>
      </c>
      <c r="J79" s="220">
        <v>1000</v>
      </c>
      <c r="K79" s="204">
        <v>1237</v>
      </c>
      <c r="L79" s="36" t="s">
        <v>882</v>
      </c>
      <c r="M79" s="221"/>
      <c r="N79" s="230">
        <f t="shared" si="8"/>
        <v>2237</v>
      </c>
      <c r="P79" s="172">
        <f t="shared" si="9"/>
        <v>2237</v>
      </c>
      <c r="Q79" s="172">
        <f t="shared" si="10"/>
        <v>2237</v>
      </c>
    </row>
    <row r="80" spans="1:231" s="225" customFormat="1" ht="25.5">
      <c r="A80" s="10">
        <v>26</v>
      </c>
      <c r="B80" s="62" t="s">
        <v>261</v>
      </c>
      <c r="C80" s="229" t="s">
        <v>46</v>
      </c>
      <c r="D80" s="3">
        <v>2017</v>
      </c>
      <c r="E80" s="3">
        <v>2019</v>
      </c>
      <c r="F80" s="224" t="s">
        <v>262</v>
      </c>
      <c r="G80" s="220">
        <v>3989</v>
      </c>
      <c r="H80" s="35">
        <v>3989</v>
      </c>
      <c r="I80" s="220">
        <v>1100</v>
      </c>
      <c r="J80" s="220">
        <v>1100</v>
      </c>
      <c r="K80" s="204">
        <v>1245</v>
      </c>
      <c r="L80" s="36" t="s">
        <v>883</v>
      </c>
      <c r="M80" s="221"/>
      <c r="N80" s="230">
        <f t="shared" si="8"/>
        <v>2345</v>
      </c>
      <c r="O80" s="223"/>
      <c r="P80" s="172">
        <f t="shared" si="9"/>
        <v>2345</v>
      </c>
      <c r="Q80" s="172">
        <f t="shared" si="10"/>
        <v>2345</v>
      </c>
      <c r="R80" s="223"/>
      <c r="S80" s="223"/>
      <c r="T80" s="223"/>
      <c r="U80" s="223"/>
      <c r="V80" s="223"/>
      <c r="W80" s="223"/>
      <c r="X80" s="223"/>
      <c r="Y80" s="223"/>
      <c r="Z80" s="223"/>
      <c r="AA80" s="223"/>
      <c r="AB80" s="223"/>
      <c r="AC80" s="223"/>
      <c r="AD80" s="223"/>
      <c r="AE80" s="223"/>
      <c r="AF80" s="223"/>
      <c r="AG80" s="223"/>
      <c r="AH80" s="223"/>
      <c r="AI80" s="223"/>
      <c r="AJ80" s="223"/>
      <c r="AK80" s="223"/>
      <c r="AL80" s="223"/>
      <c r="AM80" s="223"/>
      <c r="AN80" s="223"/>
      <c r="AO80" s="223"/>
      <c r="AP80" s="223"/>
      <c r="AQ80" s="223"/>
      <c r="AR80" s="223"/>
      <c r="AS80" s="223"/>
      <c r="AT80" s="223"/>
      <c r="AU80" s="223"/>
      <c r="AV80" s="223"/>
      <c r="AW80" s="223"/>
      <c r="AX80" s="223"/>
      <c r="AY80" s="223"/>
      <c r="AZ80" s="223"/>
      <c r="BA80" s="223"/>
      <c r="BB80" s="223"/>
      <c r="BC80" s="223"/>
      <c r="BD80" s="223"/>
      <c r="BE80" s="223"/>
      <c r="BF80" s="223"/>
      <c r="BG80" s="223"/>
      <c r="BH80" s="223"/>
      <c r="BI80" s="223"/>
      <c r="BJ80" s="223"/>
      <c r="BK80" s="223"/>
      <c r="BL80" s="223"/>
      <c r="BM80" s="223"/>
      <c r="BN80" s="223"/>
      <c r="BO80" s="223"/>
      <c r="BP80" s="223"/>
      <c r="BQ80" s="223"/>
      <c r="BR80" s="223"/>
      <c r="BS80" s="223"/>
      <c r="BT80" s="223"/>
      <c r="BU80" s="223"/>
      <c r="BV80" s="223"/>
      <c r="BW80" s="223"/>
      <c r="BX80" s="223"/>
      <c r="BY80" s="223"/>
      <c r="BZ80" s="223"/>
      <c r="CA80" s="223"/>
      <c r="CB80" s="223"/>
      <c r="CC80" s="223"/>
      <c r="CD80" s="223"/>
      <c r="CE80" s="223"/>
      <c r="CF80" s="223"/>
      <c r="CG80" s="223"/>
      <c r="CH80" s="223"/>
      <c r="CI80" s="223"/>
      <c r="CJ80" s="223"/>
      <c r="CK80" s="223"/>
      <c r="CL80" s="223"/>
      <c r="CM80" s="223"/>
      <c r="CN80" s="223"/>
      <c r="CO80" s="223"/>
      <c r="CP80" s="223"/>
      <c r="CQ80" s="223"/>
      <c r="CR80" s="223"/>
      <c r="CS80" s="223"/>
      <c r="CT80" s="223"/>
      <c r="CU80" s="223"/>
      <c r="CV80" s="223"/>
      <c r="CW80" s="223"/>
      <c r="CX80" s="223"/>
      <c r="CY80" s="223"/>
      <c r="CZ80" s="223"/>
      <c r="DA80" s="223"/>
      <c r="DB80" s="223"/>
      <c r="DC80" s="223"/>
      <c r="DD80" s="223"/>
      <c r="DE80" s="223"/>
      <c r="DF80" s="223"/>
      <c r="DG80" s="223"/>
      <c r="DH80" s="223"/>
      <c r="DI80" s="223"/>
      <c r="DJ80" s="223"/>
      <c r="DK80" s="223"/>
      <c r="DL80" s="223"/>
      <c r="DM80" s="223"/>
      <c r="DN80" s="223"/>
      <c r="DO80" s="223"/>
      <c r="DP80" s="223"/>
      <c r="DQ80" s="223"/>
      <c r="DR80" s="223"/>
      <c r="DS80" s="223"/>
      <c r="DT80" s="223"/>
      <c r="DU80" s="223"/>
      <c r="DV80" s="223"/>
      <c r="DW80" s="223"/>
      <c r="DX80" s="223"/>
      <c r="DY80" s="223"/>
      <c r="DZ80" s="223"/>
      <c r="EA80" s="223"/>
      <c r="EB80" s="223"/>
      <c r="EC80" s="223"/>
      <c r="ED80" s="223"/>
      <c r="EE80" s="223"/>
      <c r="EF80" s="223"/>
      <c r="EG80" s="223"/>
      <c r="EH80" s="223"/>
      <c r="EI80" s="223"/>
      <c r="EJ80" s="223"/>
      <c r="EK80" s="223"/>
      <c r="EL80" s="223"/>
      <c r="EM80" s="223"/>
      <c r="EN80" s="223"/>
      <c r="EO80" s="223"/>
      <c r="EP80" s="223"/>
      <c r="EQ80" s="223"/>
      <c r="ER80" s="223"/>
      <c r="ES80" s="223"/>
      <c r="ET80" s="223"/>
      <c r="EU80" s="223"/>
      <c r="EV80" s="223"/>
      <c r="EW80" s="223"/>
      <c r="EX80" s="223"/>
      <c r="EY80" s="223"/>
      <c r="EZ80" s="223"/>
      <c r="FA80" s="223"/>
      <c r="FB80" s="223"/>
      <c r="FC80" s="223"/>
      <c r="FD80" s="223"/>
      <c r="FE80" s="223"/>
      <c r="FF80" s="223"/>
      <c r="FG80" s="223"/>
      <c r="FH80" s="223"/>
      <c r="FI80" s="223"/>
      <c r="FJ80" s="223"/>
      <c r="FK80" s="223"/>
      <c r="FL80" s="223"/>
      <c r="FM80" s="223"/>
      <c r="FN80" s="223"/>
      <c r="FO80" s="223"/>
      <c r="FP80" s="223"/>
      <c r="FQ80" s="223"/>
      <c r="FR80" s="223"/>
      <c r="FS80" s="223"/>
      <c r="FT80" s="223"/>
      <c r="FU80" s="223"/>
      <c r="FV80" s="223"/>
      <c r="FW80" s="223"/>
      <c r="FX80" s="223"/>
      <c r="FY80" s="223"/>
      <c r="FZ80" s="223"/>
      <c r="GA80" s="223"/>
      <c r="GB80" s="223"/>
      <c r="GC80" s="223"/>
      <c r="GD80" s="223"/>
      <c r="GE80" s="223"/>
      <c r="GF80" s="223"/>
      <c r="GG80" s="223"/>
      <c r="GH80" s="223"/>
      <c r="GI80" s="223"/>
      <c r="GJ80" s="223"/>
      <c r="GK80" s="223"/>
      <c r="GL80" s="223"/>
      <c r="GM80" s="223"/>
      <c r="GN80" s="223"/>
      <c r="GO80" s="223"/>
      <c r="GP80" s="223"/>
      <c r="GQ80" s="223"/>
      <c r="GR80" s="223"/>
      <c r="GS80" s="223"/>
      <c r="GT80" s="223"/>
      <c r="GU80" s="223"/>
      <c r="GV80" s="223"/>
      <c r="GW80" s="223"/>
      <c r="GX80" s="223"/>
      <c r="GY80" s="223"/>
      <c r="GZ80" s="223"/>
      <c r="HA80" s="223"/>
      <c r="HB80" s="223"/>
      <c r="HC80" s="223"/>
      <c r="HD80" s="223"/>
      <c r="HE80" s="223"/>
      <c r="HF80" s="223"/>
      <c r="HG80" s="223"/>
      <c r="HH80" s="223"/>
      <c r="HI80" s="223"/>
      <c r="HJ80" s="223"/>
      <c r="HK80" s="223"/>
      <c r="HL80" s="223"/>
      <c r="HM80" s="223"/>
      <c r="HN80" s="223"/>
      <c r="HO80" s="223"/>
      <c r="HP80" s="223"/>
      <c r="HQ80" s="223"/>
      <c r="HR80" s="223"/>
      <c r="HS80" s="223"/>
      <c r="HT80" s="223"/>
      <c r="HU80" s="223"/>
      <c r="HV80" s="223"/>
      <c r="HW80" s="223"/>
    </row>
    <row r="81" spans="1:231" s="223" customFormat="1" ht="31.5">
      <c r="A81" s="10">
        <v>27</v>
      </c>
      <c r="B81" s="62" t="s">
        <v>311</v>
      </c>
      <c r="C81" s="229" t="s">
        <v>46</v>
      </c>
      <c r="D81" s="3">
        <v>2017</v>
      </c>
      <c r="E81" s="3">
        <v>2019</v>
      </c>
      <c r="F81" s="185" t="s">
        <v>312</v>
      </c>
      <c r="G81" s="220">
        <v>4000</v>
      </c>
      <c r="H81" s="220">
        <v>4000</v>
      </c>
      <c r="I81" s="220">
        <v>1050</v>
      </c>
      <c r="J81" s="220">
        <v>1050</v>
      </c>
      <c r="K81" s="204">
        <v>1275</v>
      </c>
      <c r="L81" s="218" t="s">
        <v>850</v>
      </c>
      <c r="M81" s="237"/>
      <c r="N81" s="230">
        <f t="shared" si="8"/>
        <v>2325</v>
      </c>
      <c r="P81" s="172">
        <f t="shared" si="9"/>
        <v>2325</v>
      </c>
      <c r="Q81" s="172">
        <f t="shared" si="10"/>
        <v>2325</v>
      </c>
    </row>
    <row r="82" spans="1:231" s="223" customFormat="1" ht="25.5">
      <c r="A82" s="10">
        <v>28</v>
      </c>
      <c r="B82" s="62" t="s">
        <v>305</v>
      </c>
      <c r="C82" s="229" t="s">
        <v>46</v>
      </c>
      <c r="D82" s="3">
        <v>2017</v>
      </c>
      <c r="E82" s="3">
        <v>2019</v>
      </c>
      <c r="F82" s="185" t="s">
        <v>306</v>
      </c>
      <c r="G82" s="220">
        <v>3946</v>
      </c>
      <c r="H82" s="220">
        <v>3946</v>
      </c>
      <c r="I82" s="220">
        <v>1000</v>
      </c>
      <c r="J82" s="220">
        <v>1000</v>
      </c>
      <c r="K82" s="204">
        <v>1275</v>
      </c>
      <c r="L82" s="36" t="s">
        <v>884</v>
      </c>
      <c r="M82" s="221"/>
      <c r="N82" s="230">
        <f t="shared" si="8"/>
        <v>2275</v>
      </c>
      <c r="P82" s="172">
        <f t="shared" si="9"/>
        <v>2275</v>
      </c>
      <c r="Q82" s="172">
        <f t="shared" si="10"/>
        <v>2275</v>
      </c>
    </row>
    <row r="83" spans="1:231" s="223" customFormat="1" ht="31.5">
      <c r="A83" s="10">
        <v>29</v>
      </c>
      <c r="B83" s="62" t="s">
        <v>263</v>
      </c>
      <c r="C83" s="236" t="s">
        <v>26</v>
      </c>
      <c r="D83" s="3">
        <v>2017</v>
      </c>
      <c r="E83" s="3">
        <v>2019</v>
      </c>
      <c r="F83" s="185" t="s">
        <v>264</v>
      </c>
      <c r="G83" s="220">
        <v>3990</v>
      </c>
      <c r="H83" s="220">
        <v>3990</v>
      </c>
      <c r="I83" s="220">
        <v>1025</v>
      </c>
      <c r="J83" s="220">
        <v>1025</v>
      </c>
      <c r="K83" s="204">
        <v>1283</v>
      </c>
      <c r="L83" s="11" t="s">
        <v>885</v>
      </c>
      <c r="M83" s="173"/>
      <c r="N83" s="230">
        <f t="shared" si="8"/>
        <v>2308</v>
      </c>
      <c r="P83" s="172">
        <f t="shared" si="9"/>
        <v>2308</v>
      </c>
      <c r="Q83" s="172">
        <f t="shared" si="10"/>
        <v>2308</v>
      </c>
    </row>
    <row r="84" spans="1:231" s="223" customFormat="1" ht="31.5">
      <c r="A84" s="10">
        <v>30</v>
      </c>
      <c r="B84" s="62" t="s">
        <v>886</v>
      </c>
      <c r="C84" s="218" t="s">
        <v>10</v>
      </c>
      <c r="D84" s="3">
        <v>2017</v>
      </c>
      <c r="E84" s="3">
        <v>2019</v>
      </c>
      <c r="F84" s="224" t="s">
        <v>299</v>
      </c>
      <c r="G84" s="220">
        <v>4000</v>
      </c>
      <c r="H84" s="220">
        <v>4000</v>
      </c>
      <c r="I84" s="220">
        <v>1000</v>
      </c>
      <c r="J84" s="220">
        <v>1000</v>
      </c>
      <c r="K84" s="204">
        <v>1300</v>
      </c>
      <c r="L84" s="36" t="s">
        <v>880</v>
      </c>
      <c r="M84" s="221"/>
      <c r="N84" s="230">
        <f t="shared" si="8"/>
        <v>2300</v>
      </c>
      <c r="P84" s="172">
        <f t="shared" si="9"/>
        <v>2300</v>
      </c>
      <c r="Q84" s="172">
        <f t="shared" si="10"/>
        <v>2300</v>
      </c>
    </row>
    <row r="85" spans="1:231" s="223" customFormat="1" ht="25.5">
      <c r="A85" s="10">
        <v>31</v>
      </c>
      <c r="B85" s="62" t="s">
        <v>282</v>
      </c>
      <c r="C85" s="236" t="s">
        <v>49</v>
      </c>
      <c r="D85" s="3">
        <v>2017</v>
      </c>
      <c r="E85" s="3">
        <v>2019</v>
      </c>
      <c r="F85" s="185" t="s">
        <v>283</v>
      </c>
      <c r="G85" s="220">
        <v>4130.6000000000004</v>
      </c>
      <c r="H85" s="220">
        <v>4130.6000000000004</v>
      </c>
      <c r="I85" s="220">
        <v>1100</v>
      </c>
      <c r="J85" s="220">
        <v>1100</v>
      </c>
      <c r="K85" s="204">
        <v>1309</v>
      </c>
      <c r="L85" s="11" t="s">
        <v>887</v>
      </c>
      <c r="M85" s="173"/>
      <c r="N85" s="230">
        <f t="shared" si="8"/>
        <v>2409</v>
      </c>
      <c r="P85" s="172">
        <f t="shared" si="9"/>
        <v>2409</v>
      </c>
      <c r="Q85" s="172">
        <f t="shared" si="10"/>
        <v>2409</v>
      </c>
    </row>
    <row r="86" spans="1:231" s="223" customFormat="1" ht="31.5">
      <c r="A86" s="10">
        <v>32</v>
      </c>
      <c r="B86" s="62" t="s">
        <v>290</v>
      </c>
      <c r="C86" s="228" t="s">
        <v>17</v>
      </c>
      <c r="D86" s="3">
        <v>2017</v>
      </c>
      <c r="E86" s="3">
        <v>2019</v>
      </c>
      <c r="F86" s="224" t="s">
        <v>291</v>
      </c>
      <c r="G86" s="220">
        <v>4077</v>
      </c>
      <c r="H86" s="220">
        <v>4077</v>
      </c>
      <c r="I86" s="220">
        <v>1000</v>
      </c>
      <c r="J86" s="220">
        <v>1000</v>
      </c>
      <c r="K86" s="204">
        <v>1334</v>
      </c>
      <c r="L86" s="36" t="s">
        <v>888</v>
      </c>
      <c r="M86" s="221"/>
      <c r="N86" s="230">
        <f t="shared" si="8"/>
        <v>2334</v>
      </c>
      <c r="P86" s="172">
        <f t="shared" si="9"/>
        <v>2334</v>
      </c>
      <c r="Q86" s="172">
        <f t="shared" si="10"/>
        <v>2334</v>
      </c>
    </row>
    <row r="87" spans="1:231" s="223" customFormat="1" ht="31.5">
      <c r="A87" s="10">
        <v>33</v>
      </c>
      <c r="B87" s="62" t="s">
        <v>277</v>
      </c>
      <c r="C87" s="2" t="s">
        <v>9</v>
      </c>
      <c r="D87" s="3">
        <v>2017</v>
      </c>
      <c r="E87" s="3">
        <v>2019</v>
      </c>
      <c r="F87" s="185" t="s">
        <v>278</v>
      </c>
      <c r="G87" s="220">
        <v>4513</v>
      </c>
      <c r="H87" s="220">
        <v>4513</v>
      </c>
      <c r="I87" s="220">
        <v>1350</v>
      </c>
      <c r="J87" s="220">
        <v>1350</v>
      </c>
      <c r="K87" s="204">
        <v>1356</v>
      </c>
      <c r="L87" s="36" t="s">
        <v>889</v>
      </c>
      <c r="M87" s="221"/>
      <c r="N87" s="230">
        <f t="shared" si="8"/>
        <v>2706</v>
      </c>
      <c r="P87" s="172">
        <f t="shared" si="9"/>
        <v>2706</v>
      </c>
      <c r="Q87" s="172">
        <f t="shared" si="10"/>
        <v>2706</v>
      </c>
    </row>
    <row r="88" spans="1:231" s="225" customFormat="1" ht="25.5">
      <c r="A88" s="10">
        <v>34</v>
      </c>
      <c r="B88" s="55" t="s">
        <v>233</v>
      </c>
      <c r="C88" s="229" t="s">
        <v>46</v>
      </c>
      <c r="D88" s="3">
        <v>2017</v>
      </c>
      <c r="E88" s="3">
        <v>2019</v>
      </c>
      <c r="F88" s="224" t="s">
        <v>234</v>
      </c>
      <c r="G88" s="35">
        <v>4556</v>
      </c>
      <c r="H88" s="35">
        <v>4556</v>
      </c>
      <c r="I88" s="220">
        <v>1195</v>
      </c>
      <c r="J88" s="220">
        <v>1195</v>
      </c>
      <c r="K88" s="11">
        <v>1452</v>
      </c>
      <c r="L88" s="11" t="s">
        <v>890</v>
      </c>
      <c r="M88" s="173"/>
      <c r="N88" s="230">
        <f t="shared" si="8"/>
        <v>2647</v>
      </c>
      <c r="O88" s="222"/>
      <c r="P88" s="172">
        <f t="shared" si="9"/>
        <v>2647</v>
      </c>
      <c r="Q88" s="172">
        <f t="shared" si="10"/>
        <v>2647</v>
      </c>
      <c r="R88" s="222"/>
      <c r="S88" s="222"/>
      <c r="T88" s="222"/>
      <c r="U88" s="222"/>
      <c r="V88" s="222"/>
      <c r="W88" s="222"/>
      <c r="X88" s="222"/>
      <c r="Y88" s="222"/>
      <c r="Z88" s="222"/>
      <c r="AA88" s="222"/>
      <c r="AB88" s="222"/>
      <c r="AC88" s="222"/>
      <c r="AD88" s="222"/>
      <c r="AE88" s="222"/>
      <c r="AF88" s="222"/>
      <c r="AG88" s="222"/>
      <c r="AH88" s="222"/>
      <c r="AI88" s="222"/>
      <c r="AJ88" s="222"/>
      <c r="AK88" s="222"/>
      <c r="AL88" s="222"/>
      <c r="AM88" s="222"/>
      <c r="AN88" s="222"/>
      <c r="AO88" s="222"/>
      <c r="AP88" s="222"/>
      <c r="AQ88" s="222"/>
      <c r="AR88" s="222"/>
      <c r="AS88" s="222"/>
      <c r="AT88" s="222"/>
      <c r="AU88" s="222"/>
      <c r="AV88" s="222"/>
      <c r="AW88" s="222"/>
      <c r="AX88" s="222"/>
      <c r="AY88" s="222"/>
      <c r="AZ88" s="222"/>
      <c r="BA88" s="222"/>
      <c r="BB88" s="222"/>
      <c r="BC88" s="222"/>
      <c r="BD88" s="222"/>
      <c r="BE88" s="222"/>
      <c r="BF88" s="222"/>
      <c r="BG88" s="222"/>
      <c r="BH88" s="222"/>
      <c r="BI88" s="222"/>
      <c r="BJ88" s="222"/>
      <c r="BK88" s="222"/>
      <c r="BL88" s="222"/>
      <c r="BM88" s="222"/>
      <c r="BN88" s="222"/>
      <c r="BO88" s="222"/>
      <c r="BP88" s="222"/>
      <c r="BQ88" s="222"/>
      <c r="BR88" s="222"/>
      <c r="BS88" s="222"/>
      <c r="BT88" s="222"/>
      <c r="BU88" s="222"/>
      <c r="BV88" s="222"/>
      <c r="BW88" s="222"/>
      <c r="BX88" s="222"/>
      <c r="BY88" s="222"/>
      <c r="BZ88" s="222"/>
      <c r="CA88" s="222"/>
      <c r="CB88" s="222"/>
      <c r="CC88" s="222"/>
      <c r="CD88" s="222"/>
      <c r="CE88" s="222"/>
      <c r="CF88" s="222"/>
      <c r="CG88" s="222"/>
      <c r="CH88" s="222"/>
      <c r="CI88" s="222"/>
      <c r="CJ88" s="222"/>
      <c r="CK88" s="222"/>
      <c r="CL88" s="222"/>
      <c r="CM88" s="222"/>
      <c r="CN88" s="222"/>
      <c r="CO88" s="222"/>
      <c r="CP88" s="222"/>
      <c r="CQ88" s="222"/>
      <c r="CR88" s="222"/>
      <c r="CS88" s="222"/>
      <c r="CT88" s="222"/>
      <c r="CU88" s="222"/>
      <c r="CV88" s="222"/>
      <c r="CW88" s="222"/>
      <c r="CX88" s="222"/>
      <c r="CY88" s="222"/>
      <c r="CZ88" s="222"/>
      <c r="DA88" s="222"/>
      <c r="DB88" s="222"/>
      <c r="DC88" s="222"/>
      <c r="DD88" s="222"/>
      <c r="DE88" s="222"/>
      <c r="DF88" s="222"/>
      <c r="DG88" s="222"/>
      <c r="DH88" s="222"/>
      <c r="DI88" s="222"/>
      <c r="DJ88" s="222"/>
      <c r="DK88" s="222"/>
      <c r="DL88" s="222"/>
      <c r="DM88" s="222"/>
      <c r="DN88" s="222"/>
      <c r="DO88" s="222"/>
      <c r="DP88" s="222"/>
      <c r="DQ88" s="222"/>
      <c r="DR88" s="222"/>
      <c r="DS88" s="222"/>
      <c r="DT88" s="222"/>
      <c r="DU88" s="222"/>
      <c r="DV88" s="222"/>
      <c r="DW88" s="222"/>
      <c r="DX88" s="222"/>
      <c r="DY88" s="222"/>
      <c r="DZ88" s="222"/>
      <c r="EA88" s="222"/>
      <c r="EB88" s="222"/>
      <c r="EC88" s="222"/>
      <c r="ED88" s="222"/>
      <c r="EE88" s="222"/>
      <c r="EF88" s="222"/>
      <c r="EG88" s="222"/>
      <c r="EH88" s="222"/>
      <c r="EI88" s="222"/>
      <c r="EJ88" s="222"/>
      <c r="EK88" s="222"/>
      <c r="EL88" s="222"/>
      <c r="EM88" s="222"/>
      <c r="EN88" s="222"/>
      <c r="EO88" s="222"/>
      <c r="EP88" s="222"/>
      <c r="EQ88" s="222"/>
      <c r="ER88" s="222"/>
      <c r="ES88" s="222"/>
      <c r="ET88" s="222"/>
      <c r="EU88" s="222"/>
      <c r="EV88" s="222"/>
      <c r="EW88" s="222"/>
      <c r="EX88" s="222"/>
      <c r="EY88" s="222"/>
      <c r="EZ88" s="222"/>
      <c r="FA88" s="222"/>
      <c r="FB88" s="222"/>
      <c r="FC88" s="222"/>
      <c r="FD88" s="222"/>
      <c r="FE88" s="222"/>
      <c r="FF88" s="222"/>
      <c r="FG88" s="222"/>
      <c r="FH88" s="222"/>
      <c r="FI88" s="222"/>
      <c r="FJ88" s="222"/>
      <c r="FK88" s="222"/>
      <c r="FL88" s="222"/>
      <c r="FM88" s="222"/>
      <c r="FN88" s="222"/>
      <c r="FO88" s="222"/>
      <c r="FP88" s="222"/>
      <c r="FQ88" s="222"/>
      <c r="FR88" s="222"/>
      <c r="FS88" s="222"/>
      <c r="FT88" s="222"/>
      <c r="FU88" s="222"/>
      <c r="FV88" s="222"/>
      <c r="FW88" s="222"/>
      <c r="FX88" s="222"/>
      <c r="FY88" s="222"/>
      <c r="FZ88" s="222"/>
      <c r="GA88" s="222"/>
      <c r="GB88" s="222"/>
      <c r="GC88" s="222"/>
      <c r="GD88" s="222"/>
      <c r="GE88" s="222"/>
      <c r="GF88" s="222"/>
      <c r="GG88" s="222"/>
      <c r="GH88" s="222"/>
      <c r="GI88" s="222"/>
      <c r="GJ88" s="222"/>
      <c r="GK88" s="222"/>
      <c r="GL88" s="222"/>
      <c r="GM88" s="222"/>
      <c r="GN88" s="222"/>
      <c r="GO88" s="222"/>
      <c r="GP88" s="222"/>
      <c r="GQ88" s="222"/>
      <c r="GR88" s="222"/>
      <c r="GS88" s="222"/>
      <c r="GT88" s="222"/>
      <c r="GU88" s="222"/>
      <c r="GV88" s="222"/>
      <c r="GW88" s="222"/>
      <c r="GX88" s="222"/>
      <c r="GY88" s="222"/>
      <c r="GZ88" s="222"/>
      <c r="HA88" s="222"/>
      <c r="HB88" s="222"/>
      <c r="HC88" s="222"/>
      <c r="HD88" s="222"/>
      <c r="HE88" s="222"/>
      <c r="HF88" s="222"/>
      <c r="HG88" s="222"/>
      <c r="HH88" s="222"/>
      <c r="HI88" s="222"/>
      <c r="HJ88" s="222"/>
      <c r="HK88" s="222"/>
      <c r="HL88" s="222"/>
      <c r="HM88" s="222"/>
      <c r="HN88" s="222"/>
      <c r="HO88" s="222"/>
      <c r="HP88" s="222"/>
      <c r="HQ88" s="222"/>
      <c r="HR88" s="222"/>
      <c r="HS88" s="222"/>
      <c r="HT88" s="222"/>
      <c r="HU88" s="222"/>
      <c r="HV88" s="222"/>
      <c r="HW88" s="222"/>
    </row>
    <row r="89" spans="1:231" s="223" customFormat="1" ht="31.5">
      <c r="A89" s="10">
        <v>35</v>
      </c>
      <c r="B89" s="62" t="s">
        <v>267</v>
      </c>
      <c r="C89" s="236" t="s">
        <v>44</v>
      </c>
      <c r="D89" s="3">
        <v>2017</v>
      </c>
      <c r="E89" s="3">
        <v>2019</v>
      </c>
      <c r="F89" s="185" t="s">
        <v>268</v>
      </c>
      <c r="G89" s="220">
        <v>4588</v>
      </c>
      <c r="H89" s="220">
        <v>4588</v>
      </c>
      <c r="I89" s="220">
        <v>1200</v>
      </c>
      <c r="J89" s="220">
        <v>1200</v>
      </c>
      <c r="K89" s="204">
        <v>1464</v>
      </c>
      <c r="L89" s="36" t="s">
        <v>891</v>
      </c>
      <c r="M89" s="221"/>
      <c r="N89" s="230">
        <f t="shared" si="8"/>
        <v>2664</v>
      </c>
      <c r="P89" s="172">
        <f t="shared" si="9"/>
        <v>2664</v>
      </c>
      <c r="Q89" s="172">
        <f t="shared" si="10"/>
        <v>2664</v>
      </c>
    </row>
    <row r="90" spans="1:231" s="223" customFormat="1" ht="31.5">
      <c r="A90" s="10">
        <v>36</v>
      </c>
      <c r="B90" s="62" t="s">
        <v>292</v>
      </c>
      <c r="C90" s="228" t="s">
        <v>17</v>
      </c>
      <c r="D90" s="3">
        <v>2017</v>
      </c>
      <c r="E90" s="3">
        <v>2019</v>
      </c>
      <c r="F90" s="185" t="s">
        <v>293</v>
      </c>
      <c r="G90" s="220">
        <v>4500</v>
      </c>
      <c r="H90" s="220">
        <v>4500</v>
      </c>
      <c r="I90" s="220">
        <v>1100</v>
      </c>
      <c r="J90" s="220">
        <v>1100</v>
      </c>
      <c r="K90" s="204">
        <v>1475</v>
      </c>
      <c r="L90" s="36" t="s">
        <v>844</v>
      </c>
      <c r="M90" s="221"/>
      <c r="N90" s="230">
        <f t="shared" si="8"/>
        <v>2575</v>
      </c>
      <c r="P90" s="172">
        <f t="shared" si="9"/>
        <v>2575</v>
      </c>
      <c r="Q90" s="172">
        <f t="shared" si="10"/>
        <v>2575</v>
      </c>
    </row>
    <row r="91" spans="1:231" s="223" customFormat="1" ht="31.5">
      <c r="A91" s="10">
        <v>37</v>
      </c>
      <c r="B91" s="62" t="s">
        <v>273</v>
      </c>
      <c r="C91" s="236" t="s">
        <v>49</v>
      </c>
      <c r="D91" s="3">
        <v>2017</v>
      </c>
      <c r="E91" s="3">
        <v>2019</v>
      </c>
      <c r="F91" s="185" t="s">
        <v>274</v>
      </c>
      <c r="G91" s="220">
        <v>4954</v>
      </c>
      <c r="H91" s="220">
        <v>4954</v>
      </c>
      <c r="I91" s="220">
        <v>1450</v>
      </c>
      <c r="J91" s="220">
        <v>1450</v>
      </c>
      <c r="K91" s="204">
        <v>1504</v>
      </c>
      <c r="L91" s="11" t="s">
        <v>892</v>
      </c>
      <c r="M91" s="173"/>
      <c r="N91" s="230">
        <f t="shared" si="8"/>
        <v>2954</v>
      </c>
      <c r="P91" s="172">
        <f t="shared" si="9"/>
        <v>2954</v>
      </c>
      <c r="Q91" s="172">
        <f t="shared" si="10"/>
        <v>2954</v>
      </c>
    </row>
    <row r="92" spans="1:231" s="223" customFormat="1" ht="31.5">
      <c r="A92" s="10">
        <v>38</v>
      </c>
      <c r="B92" s="62" t="s">
        <v>303</v>
      </c>
      <c r="C92" s="229" t="s">
        <v>46</v>
      </c>
      <c r="D92" s="3">
        <v>2017</v>
      </c>
      <c r="E92" s="3">
        <v>2019</v>
      </c>
      <c r="F92" s="185" t="s">
        <v>304</v>
      </c>
      <c r="G92" s="220">
        <v>4795</v>
      </c>
      <c r="H92" s="220">
        <v>4795</v>
      </c>
      <c r="I92" s="220">
        <v>1250</v>
      </c>
      <c r="J92" s="220">
        <v>1250</v>
      </c>
      <c r="K92" s="204">
        <v>1533</v>
      </c>
      <c r="L92" s="36" t="s">
        <v>854</v>
      </c>
      <c r="M92" s="221"/>
      <c r="N92" s="230">
        <f t="shared" si="8"/>
        <v>2783</v>
      </c>
      <c r="P92" s="172">
        <f t="shared" si="9"/>
        <v>2783</v>
      </c>
      <c r="Q92" s="172">
        <f t="shared" si="10"/>
        <v>2783</v>
      </c>
    </row>
    <row r="93" spans="1:231" s="222" customFormat="1" ht="31.5">
      <c r="A93" s="10">
        <v>39</v>
      </c>
      <c r="B93" s="55" t="s">
        <v>245</v>
      </c>
      <c r="C93" s="229" t="s">
        <v>46</v>
      </c>
      <c r="D93" s="3">
        <v>2017</v>
      </c>
      <c r="E93" s="3">
        <v>2019</v>
      </c>
      <c r="F93" s="224" t="s">
        <v>246</v>
      </c>
      <c r="G93" s="220">
        <v>5000</v>
      </c>
      <c r="H93" s="220">
        <v>5000</v>
      </c>
      <c r="I93" s="220">
        <v>1370</v>
      </c>
      <c r="J93" s="220">
        <v>1370</v>
      </c>
      <c r="K93" s="204">
        <v>1565</v>
      </c>
      <c r="L93" s="11" t="s">
        <v>893</v>
      </c>
      <c r="M93" s="173"/>
      <c r="N93" s="230">
        <f t="shared" si="8"/>
        <v>2935</v>
      </c>
      <c r="P93" s="172">
        <f t="shared" si="9"/>
        <v>2935</v>
      </c>
      <c r="Q93" s="172">
        <f t="shared" si="10"/>
        <v>2935</v>
      </c>
    </row>
    <row r="94" spans="1:231" s="223" customFormat="1" ht="31.5">
      <c r="A94" s="10">
        <v>40</v>
      </c>
      <c r="B94" s="62" t="s">
        <v>269</v>
      </c>
      <c r="C94" s="229" t="s">
        <v>49</v>
      </c>
      <c r="D94" s="3">
        <v>2017</v>
      </c>
      <c r="E94" s="3">
        <v>2019</v>
      </c>
      <c r="F94" s="224" t="s">
        <v>270</v>
      </c>
      <c r="G94" s="35">
        <v>5289</v>
      </c>
      <c r="H94" s="35">
        <v>5289</v>
      </c>
      <c r="I94" s="35">
        <v>1470</v>
      </c>
      <c r="J94" s="35">
        <v>1470</v>
      </c>
      <c r="K94" s="11">
        <v>1645</v>
      </c>
      <c r="L94" s="11" t="s">
        <v>892</v>
      </c>
      <c r="M94" s="173"/>
      <c r="N94" s="230">
        <f t="shared" si="8"/>
        <v>3115</v>
      </c>
      <c r="O94" s="222"/>
      <c r="P94" s="172">
        <f t="shared" si="9"/>
        <v>3115</v>
      </c>
      <c r="Q94" s="172">
        <f t="shared" si="10"/>
        <v>3115</v>
      </c>
      <c r="R94" s="222"/>
      <c r="S94" s="222"/>
      <c r="T94" s="222"/>
      <c r="U94" s="222"/>
      <c r="V94" s="222"/>
      <c r="W94" s="222"/>
      <c r="X94" s="222"/>
      <c r="Y94" s="222"/>
      <c r="Z94" s="222"/>
      <c r="AA94" s="222"/>
      <c r="AB94" s="222"/>
      <c r="AC94" s="222"/>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c r="BA94" s="222"/>
      <c r="BB94" s="222"/>
      <c r="BC94" s="222"/>
      <c r="BD94" s="222"/>
      <c r="BE94" s="222"/>
      <c r="BF94" s="222"/>
      <c r="BG94" s="222"/>
      <c r="BH94" s="222"/>
      <c r="BI94" s="222"/>
      <c r="BJ94" s="222"/>
      <c r="BK94" s="222"/>
      <c r="BL94" s="222"/>
      <c r="BM94" s="222"/>
      <c r="BN94" s="222"/>
      <c r="BO94" s="222"/>
      <c r="BP94" s="222"/>
      <c r="BQ94" s="222"/>
      <c r="BR94" s="222"/>
      <c r="BS94" s="222"/>
      <c r="BT94" s="222"/>
      <c r="BU94" s="222"/>
      <c r="BV94" s="222"/>
      <c r="BW94" s="222"/>
      <c r="BX94" s="222"/>
      <c r="BY94" s="222"/>
      <c r="BZ94" s="222"/>
      <c r="CA94" s="222"/>
      <c r="CB94" s="222"/>
      <c r="CC94" s="222"/>
      <c r="CD94" s="222"/>
      <c r="CE94" s="222"/>
      <c r="CF94" s="222"/>
      <c r="CG94" s="222"/>
      <c r="CH94" s="222"/>
      <c r="CI94" s="222"/>
      <c r="CJ94" s="222"/>
      <c r="CK94" s="222"/>
      <c r="CL94" s="222"/>
      <c r="CM94" s="222"/>
      <c r="CN94" s="222"/>
      <c r="CO94" s="222"/>
      <c r="CP94" s="222"/>
      <c r="CQ94" s="222"/>
      <c r="CR94" s="222"/>
      <c r="CS94" s="222"/>
      <c r="CT94" s="222"/>
      <c r="CU94" s="222"/>
      <c r="CV94" s="222"/>
      <c r="CW94" s="222"/>
      <c r="CX94" s="222"/>
      <c r="CY94" s="222"/>
      <c r="CZ94" s="222"/>
      <c r="DA94" s="222"/>
      <c r="DB94" s="222"/>
      <c r="DC94" s="222"/>
      <c r="DD94" s="222"/>
      <c r="DE94" s="222"/>
      <c r="DF94" s="222"/>
      <c r="DG94" s="222"/>
      <c r="DH94" s="222"/>
      <c r="DI94" s="222"/>
      <c r="DJ94" s="222"/>
      <c r="DK94" s="222"/>
      <c r="DL94" s="222"/>
      <c r="DM94" s="222"/>
      <c r="DN94" s="222"/>
      <c r="DO94" s="222"/>
      <c r="DP94" s="222"/>
      <c r="DQ94" s="222"/>
      <c r="DR94" s="222"/>
      <c r="DS94" s="222"/>
      <c r="DT94" s="222"/>
      <c r="DU94" s="222"/>
      <c r="DV94" s="222"/>
      <c r="DW94" s="222"/>
      <c r="DX94" s="222"/>
      <c r="DY94" s="222"/>
      <c r="DZ94" s="222"/>
      <c r="EA94" s="222"/>
      <c r="EB94" s="222"/>
      <c r="EC94" s="222"/>
      <c r="ED94" s="222"/>
      <c r="EE94" s="222"/>
      <c r="EF94" s="222"/>
      <c r="EG94" s="222"/>
      <c r="EH94" s="222"/>
      <c r="EI94" s="222"/>
      <c r="EJ94" s="222"/>
      <c r="EK94" s="222"/>
      <c r="EL94" s="222"/>
      <c r="EM94" s="222"/>
      <c r="EN94" s="222"/>
      <c r="EO94" s="222"/>
      <c r="EP94" s="222"/>
      <c r="EQ94" s="222"/>
      <c r="ER94" s="222"/>
      <c r="ES94" s="222"/>
      <c r="ET94" s="222"/>
      <c r="EU94" s="222"/>
      <c r="EV94" s="222"/>
      <c r="EW94" s="222"/>
      <c r="EX94" s="222"/>
      <c r="EY94" s="222"/>
      <c r="EZ94" s="222"/>
      <c r="FA94" s="222"/>
      <c r="FB94" s="222"/>
      <c r="FC94" s="222"/>
      <c r="FD94" s="222"/>
      <c r="FE94" s="222"/>
      <c r="FF94" s="222"/>
      <c r="FG94" s="222"/>
      <c r="FH94" s="222"/>
      <c r="FI94" s="222"/>
      <c r="FJ94" s="222"/>
      <c r="FK94" s="222"/>
      <c r="FL94" s="222"/>
      <c r="FM94" s="222"/>
      <c r="FN94" s="222"/>
      <c r="FO94" s="222"/>
      <c r="FP94" s="222"/>
      <c r="FQ94" s="222"/>
      <c r="FR94" s="222"/>
      <c r="FS94" s="222"/>
      <c r="FT94" s="222"/>
      <c r="FU94" s="222"/>
      <c r="FV94" s="222"/>
      <c r="FW94" s="222"/>
      <c r="FX94" s="222"/>
      <c r="FY94" s="222"/>
      <c r="FZ94" s="222"/>
      <c r="GA94" s="222"/>
      <c r="GB94" s="222"/>
      <c r="GC94" s="222"/>
      <c r="GD94" s="222"/>
      <c r="GE94" s="222"/>
      <c r="GF94" s="222"/>
      <c r="GG94" s="222"/>
      <c r="GH94" s="222"/>
      <c r="GI94" s="222"/>
      <c r="GJ94" s="222"/>
      <c r="GK94" s="222"/>
      <c r="GL94" s="222"/>
      <c r="GM94" s="222"/>
      <c r="GN94" s="222"/>
      <c r="GO94" s="222"/>
      <c r="GP94" s="222"/>
      <c r="GQ94" s="222"/>
      <c r="GR94" s="222"/>
      <c r="GS94" s="222"/>
      <c r="GT94" s="222"/>
      <c r="GU94" s="222"/>
      <c r="GV94" s="222"/>
      <c r="GW94" s="222"/>
      <c r="GX94" s="222"/>
      <c r="GY94" s="222"/>
      <c r="GZ94" s="222"/>
      <c r="HA94" s="222"/>
      <c r="HB94" s="222"/>
      <c r="HC94" s="222"/>
      <c r="HD94" s="222"/>
      <c r="HE94" s="222"/>
      <c r="HF94" s="222"/>
      <c r="HG94" s="222"/>
      <c r="HH94" s="222"/>
      <c r="HI94" s="222"/>
      <c r="HJ94" s="222"/>
      <c r="HK94" s="222"/>
      <c r="HL94" s="222"/>
      <c r="HM94" s="222"/>
      <c r="HN94" s="222"/>
      <c r="HO94" s="222"/>
      <c r="HP94" s="222"/>
      <c r="HQ94" s="222"/>
      <c r="HR94" s="222"/>
      <c r="HS94" s="222"/>
      <c r="HT94" s="222"/>
      <c r="HU94" s="222"/>
      <c r="HV94" s="222"/>
      <c r="HW94" s="222"/>
    </row>
    <row r="95" spans="1:231" s="223" customFormat="1" ht="31.5">
      <c r="A95" s="10">
        <v>41</v>
      </c>
      <c r="B95" s="62" t="s">
        <v>271</v>
      </c>
      <c r="C95" s="229" t="s">
        <v>26</v>
      </c>
      <c r="D95" s="3">
        <v>2017</v>
      </c>
      <c r="E95" s="3">
        <v>2019</v>
      </c>
      <c r="F95" s="224" t="s">
        <v>272</v>
      </c>
      <c r="G95" s="220">
        <v>5291</v>
      </c>
      <c r="H95" s="220">
        <v>5291</v>
      </c>
      <c r="I95" s="35">
        <v>1470</v>
      </c>
      <c r="J95" s="35">
        <v>1470</v>
      </c>
      <c r="K95" s="11">
        <v>1646</v>
      </c>
      <c r="L95" s="11" t="s">
        <v>849</v>
      </c>
      <c r="M95" s="173"/>
      <c r="N95" s="230">
        <f t="shared" si="8"/>
        <v>3116</v>
      </c>
      <c r="O95" s="225"/>
      <c r="P95" s="172">
        <f t="shared" si="9"/>
        <v>3116</v>
      </c>
      <c r="Q95" s="172">
        <f t="shared" si="10"/>
        <v>3116</v>
      </c>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5"/>
      <c r="BA95" s="225"/>
      <c r="BB95" s="225"/>
      <c r="BC95" s="225"/>
      <c r="BD95" s="225"/>
      <c r="BE95" s="225"/>
      <c r="BF95" s="225"/>
      <c r="BG95" s="225"/>
      <c r="BH95" s="225"/>
      <c r="BI95" s="225"/>
      <c r="BJ95" s="225"/>
      <c r="BK95" s="225"/>
      <c r="BL95" s="225"/>
      <c r="BM95" s="225"/>
      <c r="BN95" s="225"/>
      <c r="BO95" s="225"/>
      <c r="BP95" s="225"/>
      <c r="BQ95" s="225"/>
      <c r="BR95" s="225"/>
      <c r="BS95" s="225"/>
      <c r="BT95" s="225"/>
      <c r="BU95" s="225"/>
      <c r="BV95" s="225"/>
      <c r="BW95" s="225"/>
      <c r="BX95" s="225"/>
      <c r="BY95" s="225"/>
      <c r="BZ95" s="225"/>
      <c r="CA95" s="225"/>
      <c r="CB95" s="225"/>
      <c r="CC95" s="225"/>
      <c r="CD95" s="225"/>
      <c r="CE95" s="225"/>
      <c r="CF95" s="225"/>
      <c r="CG95" s="225"/>
      <c r="CH95" s="225"/>
      <c r="CI95" s="225"/>
      <c r="CJ95" s="225"/>
      <c r="CK95" s="225"/>
      <c r="CL95" s="225"/>
      <c r="CM95" s="225"/>
      <c r="CN95" s="225"/>
      <c r="CO95" s="225"/>
      <c r="CP95" s="225"/>
      <c r="CQ95" s="225"/>
      <c r="CR95" s="225"/>
      <c r="CS95" s="225"/>
      <c r="CT95" s="225"/>
      <c r="CU95" s="225"/>
      <c r="CV95" s="225"/>
      <c r="CW95" s="225"/>
      <c r="CX95" s="225"/>
      <c r="CY95" s="225"/>
      <c r="CZ95" s="225"/>
      <c r="DA95" s="225"/>
      <c r="DB95" s="225"/>
      <c r="DC95" s="225"/>
      <c r="DD95" s="225"/>
      <c r="DE95" s="225"/>
      <c r="DF95" s="225"/>
      <c r="DG95" s="225"/>
      <c r="DH95" s="225"/>
      <c r="DI95" s="225"/>
      <c r="DJ95" s="225"/>
      <c r="DK95" s="225"/>
      <c r="DL95" s="225"/>
      <c r="DM95" s="225"/>
      <c r="DN95" s="225"/>
      <c r="DO95" s="225"/>
      <c r="DP95" s="225"/>
      <c r="DQ95" s="225"/>
      <c r="DR95" s="225"/>
      <c r="DS95" s="225"/>
      <c r="DT95" s="225"/>
      <c r="DU95" s="225"/>
      <c r="DV95" s="225"/>
      <c r="DW95" s="225"/>
      <c r="DX95" s="225"/>
      <c r="DY95" s="225"/>
      <c r="DZ95" s="225"/>
      <c r="EA95" s="225"/>
      <c r="EB95" s="225"/>
      <c r="EC95" s="225"/>
      <c r="ED95" s="225"/>
      <c r="EE95" s="225"/>
      <c r="EF95" s="225"/>
      <c r="EG95" s="225"/>
      <c r="EH95" s="225"/>
      <c r="EI95" s="225"/>
      <c r="EJ95" s="225"/>
      <c r="EK95" s="225"/>
      <c r="EL95" s="225"/>
      <c r="EM95" s="225"/>
      <c r="EN95" s="225"/>
      <c r="EO95" s="225"/>
      <c r="EP95" s="225"/>
      <c r="EQ95" s="225"/>
      <c r="ER95" s="225"/>
      <c r="ES95" s="225"/>
      <c r="ET95" s="225"/>
      <c r="EU95" s="225"/>
      <c r="EV95" s="225"/>
      <c r="EW95" s="225"/>
      <c r="EX95" s="225"/>
      <c r="EY95" s="225"/>
      <c r="EZ95" s="225"/>
      <c r="FA95" s="225"/>
      <c r="FB95" s="225"/>
      <c r="FC95" s="225"/>
      <c r="FD95" s="225"/>
      <c r="FE95" s="225"/>
      <c r="FF95" s="225"/>
      <c r="FG95" s="225"/>
      <c r="FH95" s="225"/>
      <c r="FI95" s="225"/>
      <c r="FJ95" s="225"/>
      <c r="FK95" s="225"/>
      <c r="FL95" s="225"/>
      <c r="FM95" s="225"/>
      <c r="FN95" s="225"/>
      <c r="FO95" s="225"/>
      <c r="FP95" s="225"/>
      <c r="FQ95" s="225"/>
      <c r="FR95" s="225"/>
      <c r="FS95" s="225"/>
      <c r="FT95" s="225"/>
      <c r="FU95" s="225"/>
      <c r="FV95" s="225"/>
      <c r="FW95" s="225"/>
      <c r="FX95" s="225"/>
      <c r="FY95" s="225"/>
      <c r="FZ95" s="225"/>
      <c r="GA95" s="225"/>
      <c r="GB95" s="225"/>
      <c r="GC95" s="225"/>
      <c r="GD95" s="225"/>
      <c r="GE95" s="225"/>
      <c r="GF95" s="225"/>
      <c r="GG95" s="225"/>
      <c r="GH95" s="225"/>
      <c r="GI95" s="225"/>
      <c r="GJ95" s="225"/>
      <c r="GK95" s="225"/>
      <c r="GL95" s="225"/>
      <c r="GM95" s="225"/>
      <c r="GN95" s="225"/>
      <c r="GO95" s="225"/>
      <c r="GP95" s="225"/>
      <c r="GQ95" s="225"/>
      <c r="GR95" s="225"/>
      <c r="GS95" s="225"/>
      <c r="GT95" s="225"/>
      <c r="GU95" s="225"/>
      <c r="GV95" s="225"/>
      <c r="GW95" s="225"/>
      <c r="GX95" s="225"/>
      <c r="GY95" s="225"/>
      <c r="GZ95" s="225"/>
      <c r="HA95" s="225"/>
      <c r="HB95" s="225"/>
      <c r="HC95" s="225"/>
      <c r="HD95" s="225"/>
      <c r="HE95" s="225"/>
      <c r="HF95" s="225"/>
      <c r="HG95" s="225"/>
      <c r="HH95" s="225"/>
      <c r="HI95" s="225"/>
      <c r="HJ95" s="225"/>
      <c r="HK95" s="225"/>
      <c r="HL95" s="225"/>
      <c r="HM95" s="225"/>
      <c r="HN95" s="225"/>
      <c r="HO95" s="225"/>
      <c r="HP95" s="225"/>
      <c r="HQ95" s="225"/>
      <c r="HR95" s="225"/>
      <c r="HS95" s="225"/>
      <c r="HT95" s="225"/>
      <c r="HU95" s="225"/>
      <c r="HV95" s="225"/>
      <c r="HW95" s="225"/>
    </row>
    <row r="96" spans="1:231" s="223" customFormat="1" ht="31.5">
      <c r="A96" s="10">
        <v>42</v>
      </c>
      <c r="B96" s="62" t="s">
        <v>894</v>
      </c>
      <c r="C96" s="218" t="s">
        <v>10</v>
      </c>
      <c r="D96" s="3">
        <v>2017</v>
      </c>
      <c r="E96" s="3">
        <v>2019</v>
      </c>
      <c r="F96" s="185" t="s">
        <v>298</v>
      </c>
      <c r="G96" s="220">
        <v>5286</v>
      </c>
      <c r="H96" s="220">
        <v>5286</v>
      </c>
      <c r="I96" s="220">
        <v>1400</v>
      </c>
      <c r="J96" s="220">
        <v>1400</v>
      </c>
      <c r="K96" s="204">
        <v>1678</v>
      </c>
      <c r="L96" s="36" t="s">
        <v>895</v>
      </c>
      <c r="M96" s="221"/>
      <c r="N96" s="230">
        <f t="shared" si="8"/>
        <v>3078</v>
      </c>
      <c r="P96" s="172">
        <f t="shared" si="9"/>
        <v>3078</v>
      </c>
      <c r="Q96" s="172">
        <f t="shared" si="10"/>
        <v>3078</v>
      </c>
    </row>
    <row r="97" spans="1:231" s="225" customFormat="1" ht="47.25">
      <c r="A97" s="10">
        <v>43</v>
      </c>
      <c r="B97" s="62" t="s">
        <v>313</v>
      </c>
      <c r="C97" s="2" t="s">
        <v>9</v>
      </c>
      <c r="D97" s="3">
        <v>2017</v>
      </c>
      <c r="E97" s="3">
        <v>2019</v>
      </c>
      <c r="F97" s="224" t="s">
        <v>314</v>
      </c>
      <c r="G97" s="220">
        <v>11424</v>
      </c>
      <c r="H97" s="220">
        <v>11424</v>
      </c>
      <c r="I97" s="220">
        <v>3000</v>
      </c>
      <c r="J97" s="220">
        <v>3000</v>
      </c>
      <c r="K97" s="204">
        <v>3641</v>
      </c>
      <c r="L97" s="36" t="s">
        <v>896</v>
      </c>
      <c r="M97" s="221"/>
      <c r="N97" s="230">
        <f t="shared" si="8"/>
        <v>6641</v>
      </c>
      <c r="O97" s="223"/>
      <c r="P97" s="172">
        <f t="shared" si="9"/>
        <v>6641</v>
      </c>
      <c r="Q97" s="172">
        <f t="shared" si="10"/>
        <v>6641</v>
      </c>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3"/>
      <c r="BA97" s="223"/>
      <c r="BB97" s="223"/>
      <c r="BC97" s="223"/>
      <c r="BD97" s="223"/>
      <c r="BE97" s="223"/>
      <c r="BF97" s="223"/>
      <c r="BG97" s="223"/>
      <c r="BH97" s="223"/>
      <c r="BI97" s="223"/>
      <c r="BJ97" s="223"/>
      <c r="BK97" s="223"/>
      <c r="BL97" s="223"/>
      <c r="BM97" s="223"/>
      <c r="BN97" s="223"/>
      <c r="BO97" s="223"/>
      <c r="BP97" s="223"/>
      <c r="BQ97" s="223"/>
      <c r="BR97" s="223"/>
      <c r="BS97" s="223"/>
      <c r="BT97" s="223"/>
      <c r="BU97" s="223"/>
      <c r="BV97" s="223"/>
      <c r="BW97" s="223"/>
      <c r="BX97" s="223"/>
      <c r="BY97" s="223"/>
      <c r="BZ97" s="223"/>
      <c r="CA97" s="223"/>
      <c r="CB97" s="223"/>
      <c r="CC97" s="223"/>
      <c r="CD97" s="223"/>
      <c r="CE97" s="223"/>
      <c r="CF97" s="223"/>
      <c r="CG97" s="223"/>
      <c r="CH97" s="223"/>
      <c r="CI97" s="223"/>
      <c r="CJ97" s="223"/>
      <c r="CK97" s="223"/>
      <c r="CL97" s="223"/>
      <c r="CM97" s="223"/>
      <c r="CN97" s="223"/>
      <c r="CO97" s="223"/>
      <c r="CP97" s="223"/>
      <c r="CQ97" s="223"/>
      <c r="CR97" s="223"/>
      <c r="CS97" s="223"/>
      <c r="CT97" s="223"/>
      <c r="CU97" s="223"/>
      <c r="CV97" s="223"/>
      <c r="CW97" s="223"/>
      <c r="CX97" s="223"/>
      <c r="CY97" s="223"/>
      <c r="CZ97" s="223"/>
      <c r="DA97" s="223"/>
      <c r="DB97" s="223"/>
      <c r="DC97" s="223"/>
      <c r="DD97" s="223"/>
      <c r="DE97" s="223"/>
      <c r="DF97" s="223"/>
      <c r="DG97" s="223"/>
      <c r="DH97" s="223"/>
      <c r="DI97" s="223"/>
      <c r="DJ97" s="223"/>
      <c r="DK97" s="223"/>
      <c r="DL97" s="223"/>
      <c r="DM97" s="223"/>
      <c r="DN97" s="223"/>
      <c r="DO97" s="223"/>
      <c r="DP97" s="223"/>
      <c r="DQ97" s="223"/>
      <c r="DR97" s="223"/>
      <c r="DS97" s="223"/>
      <c r="DT97" s="223"/>
      <c r="DU97" s="223"/>
      <c r="DV97" s="223"/>
      <c r="DW97" s="223"/>
      <c r="DX97" s="223"/>
      <c r="DY97" s="223"/>
      <c r="DZ97" s="223"/>
      <c r="EA97" s="223"/>
      <c r="EB97" s="223"/>
      <c r="EC97" s="223"/>
      <c r="ED97" s="223"/>
      <c r="EE97" s="223"/>
      <c r="EF97" s="223"/>
      <c r="EG97" s="223"/>
      <c r="EH97" s="223"/>
      <c r="EI97" s="223"/>
      <c r="EJ97" s="223"/>
      <c r="EK97" s="223"/>
      <c r="EL97" s="223"/>
      <c r="EM97" s="223"/>
      <c r="EN97" s="223"/>
      <c r="EO97" s="223"/>
      <c r="EP97" s="223"/>
      <c r="EQ97" s="223"/>
      <c r="ER97" s="223"/>
      <c r="ES97" s="223"/>
      <c r="ET97" s="223"/>
      <c r="EU97" s="223"/>
      <c r="EV97" s="223"/>
      <c r="EW97" s="223"/>
      <c r="EX97" s="223"/>
      <c r="EY97" s="223"/>
      <c r="EZ97" s="223"/>
      <c r="FA97" s="223"/>
      <c r="FB97" s="223"/>
      <c r="FC97" s="223"/>
      <c r="FD97" s="223"/>
      <c r="FE97" s="223"/>
      <c r="FF97" s="223"/>
      <c r="FG97" s="223"/>
      <c r="FH97" s="223"/>
      <c r="FI97" s="223"/>
      <c r="FJ97" s="223"/>
      <c r="FK97" s="223"/>
      <c r="FL97" s="223"/>
      <c r="FM97" s="223"/>
      <c r="FN97" s="223"/>
      <c r="FO97" s="223"/>
      <c r="FP97" s="223"/>
      <c r="FQ97" s="223"/>
      <c r="FR97" s="223"/>
      <c r="FS97" s="223"/>
      <c r="FT97" s="223"/>
      <c r="FU97" s="223"/>
      <c r="FV97" s="223"/>
      <c r="FW97" s="223"/>
      <c r="FX97" s="223"/>
      <c r="FY97" s="223"/>
      <c r="FZ97" s="223"/>
      <c r="GA97" s="223"/>
      <c r="GB97" s="223"/>
      <c r="GC97" s="223"/>
      <c r="GD97" s="223"/>
      <c r="GE97" s="223"/>
      <c r="GF97" s="223"/>
      <c r="GG97" s="223"/>
      <c r="GH97" s="223"/>
      <c r="GI97" s="223"/>
      <c r="GJ97" s="223"/>
      <c r="GK97" s="223"/>
      <c r="GL97" s="223"/>
      <c r="GM97" s="223"/>
      <c r="GN97" s="223"/>
      <c r="GO97" s="223"/>
      <c r="GP97" s="223"/>
      <c r="GQ97" s="223"/>
      <c r="GR97" s="223"/>
      <c r="GS97" s="223"/>
      <c r="GT97" s="223"/>
      <c r="GU97" s="223"/>
      <c r="GV97" s="223"/>
      <c r="GW97" s="223"/>
      <c r="GX97" s="223"/>
      <c r="GY97" s="223"/>
      <c r="GZ97" s="223"/>
      <c r="HA97" s="223"/>
      <c r="HB97" s="223"/>
      <c r="HC97" s="223"/>
      <c r="HD97" s="223"/>
      <c r="HE97" s="223"/>
      <c r="HF97" s="223"/>
      <c r="HG97" s="223"/>
      <c r="HH97" s="223"/>
      <c r="HI97" s="223"/>
      <c r="HJ97" s="223"/>
      <c r="HK97" s="223"/>
      <c r="HL97" s="223"/>
      <c r="HM97" s="223"/>
      <c r="HN97" s="223"/>
      <c r="HO97" s="223"/>
      <c r="HP97" s="223"/>
      <c r="HQ97" s="223"/>
      <c r="HR97" s="223"/>
      <c r="HS97" s="223"/>
      <c r="HT97" s="223"/>
      <c r="HU97" s="223"/>
      <c r="HV97" s="223"/>
      <c r="HW97" s="223"/>
    </row>
    <row r="98" spans="1:231" s="235" customFormat="1" ht="15.75">
      <c r="A98" s="175" t="s">
        <v>897</v>
      </c>
      <c r="B98" s="232" t="s">
        <v>524</v>
      </c>
      <c r="C98" s="177"/>
      <c r="D98" s="178"/>
      <c r="E98" s="178"/>
      <c r="F98" s="234"/>
      <c r="G98" s="215"/>
      <c r="H98" s="215"/>
      <c r="I98" s="215"/>
      <c r="J98" s="215"/>
      <c r="K98" s="215"/>
      <c r="L98" s="181"/>
      <c r="M98" s="182"/>
      <c r="P98" s="172">
        <f t="shared" si="9"/>
        <v>0</v>
      </c>
      <c r="Q98" s="172">
        <f t="shared" si="10"/>
        <v>0</v>
      </c>
    </row>
    <row r="99" spans="1:231" s="235" customFormat="1" ht="31.5">
      <c r="A99" s="10">
        <v>1</v>
      </c>
      <c r="B99" s="62" t="s">
        <v>325</v>
      </c>
      <c r="C99" s="2" t="s">
        <v>33</v>
      </c>
      <c r="D99" s="3">
        <v>2018</v>
      </c>
      <c r="E99" s="3">
        <v>2020</v>
      </c>
      <c r="F99" s="224" t="s">
        <v>751</v>
      </c>
      <c r="G99" s="238">
        <v>4000</v>
      </c>
      <c r="H99" s="238">
        <v>2400</v>
      </c>
      <c r="I99" s="238">
        <v>0</v>
      </c>
      <c r="J99" s="238">
        <v>0</v>
      </c>
      <c r="K99" s="238">
        <v>1200</v>
      </c>
      <c r="L99" s="36" t="s">
        <v>898</v>
      </c>
      <c r="M99" s="221"/>
      <c r="P99" s="172">
        <f t="shared" si="9"/>
        <v>1200</v>
      </c>
      <c r="Q99" s="172">
        <f t="shared" si="10"/>
        <v>1200</v>
      </c>
    </row>
    <row r="100" spans="1:231" s="235" customFormat="1" ht="31.5">
      <c r="A100" s="10">
        <v>2</v>
      </c>
      <c r="B100" s="62" t="s">
        <v>899</v>
      </c>
      <c r="C100" s="2" t="s">
        <v>33</v>
      </c>
      <c r="D100" s="3">
        <v>2018</v>
      </c>
      <c r="E100" s="3">
        <v>2020</v>
      </c>
      <c r="F100" s="224" t="s">
        <v>752</v>
      </c>
      <c r="G100" s="238">
        <v>3000</v>
      </c>
      <c r="H100" s="238">
        <v>3000</v>
      </c>
      <c r="I100" s="238">
        <v>0</v>
      </c>
      <c r="J100" s="238">
        <v>0</v>
      </c>
      <c r="K100" s="238">
        <v>810</v>
      </c>
      <c r="L100" s="239" t="s">
        <v>900</v>
      </c>
      <c r="M100" s="240"/>
      <c r="P100" s="172">
        <f t="shared" si="9"/>
        <v>810</v>
      </c>
      <c r="Q100" s="172">
        <f t="shared" si="10"/>
        <v>810</v>
      </c>
    </row>
    <row r="101" spans="1:231" s="235" customFormat="1" ht="25.5">
      <c r="A101" s="10">
        <v>3</v>
      </c>
      <c r="B101" s="62" t="s">
        <v>333</v>
      </c>
      <c r="C101" s="2" t="s">
        <v>49</v>
      </c>
      <c r="D101" s="3">
        <v>2018</v>
      </c>
      <c r="E101" s="3">
        <v>2020</v>
      </c>
      <c r="F101" s="224" t="s">
        <v>602</v>
      </c>
      <c r="G101" s="238">
        <v>2981</v>
      </c>
      <c r="H101" s="238">
        <v>2981</v>
      </c>
      <c r="I101" s="238">
        <v>40</v>
      </c>
      <c r="J101" s="238">
        <v>40</v>
      </c>
      <c r="K101" s="238">
        <v>798</v>
      </c>
      <c r="L101" s="36" t="s">
        <v>901</v>
      </c>
      <c r="M101" s="221"/>
      <c r="P101" s="172">
        <f t="shared" si="9"/>
        <v>838</v>
      </c>
      <c r="Q101" s="172">
        <f t="shared" si="10"/>
        <v>838</v>
      </c>
    </row>
    <row r="102" spans="1:231" s="235" customFormat="1" ht="31.5">
      <c r="A102" s="10">
        <v>4</v>
      </c>
      <c r="B102" s="62" t="s">
        <v>339</v>
      </c>
      <c r="C102" s="2" t="s">
        <v>49</v>
      </c>
      <c r="D102" s="3">
        <v>2018</v>
      </c>
      <c r="E102" s="3">
        <v>2020</v>
      </c>
      <c r="F102" s="224" t="s">
        <v>604</v>
      </c>
      <c r="G102" s="238">
        <v>2979</v>
      </c>
      <c r="H102" s="238">
        <v>2979</v>
      </c>
      <c r="I102" s="238">
        <v>40</v>
      </c>
      <c r="J102" s="238">
        <v>40</v>
      </c>
      <c r="K102" s="238">
        <v>798</v>
      </c>
      <c r="L102" s="239" t="s">
        <v>902</v>
      </c>
      <c r="M102" s="240"/>
      <c r="P102" s="172">
        <f t="shared" si="9"/>
        <v>838</v>
      </c>
      <c r="Q102" s="172">
        <f t="shared" si="10"/>
        <v>838</v>
      </c>
    </row>
    <row r="103" spans="1:231" s="235" customFormat="1" ht="31.5">
      <c r="A103" s="10">
        <v>5</v>
      </c>
      <c r="B103" s="62" t="s">
        <v>322</v>
      </c>
      <c r="C103" s="2" t="s">
        <v>33</v>
      </c>
      <c r="D103" s="3">
        <v>2018</v>
      </c>
      <c r="E103" s="3">
        <v>2020</v>
      </c>
      <c r="F103" s="224" t="s">
        <v>599</v>
      </c>
      <c r="G103" s="238">
        <v>2722</v>
      </c>
      <c r="H103" s="238">
        <v>2722</v>
      </c>
      <c r="I103" s="238">
        <v>40</v>
      </c>
      <c r="J103" s="238">
        <v>40</v>
      </c>
      <c r="K103" s="238">
        <v>798</v>
      </c>
      <c r="L103" s="239" t="s">
        <v>900</v>
      </c>
      <c r="M103" s="240"/>
      <c r="P103" s="172">
        <f t="shared" si="9"/>
        <v>838</v>
      </c>
      <c r="Q103" s="172">
        <f t="shared" si="10"/>
        <v>838</v>
      </c>
    </row>
    <row r="104" spans="1:231" s="235" customFormat="1" ht="25.5">
      <c r="A104" s="10">
        <v>6</v>
      </c>
      <c r="B104" s="62" t="s">
        <v>319</v>
      </c>
      <c r="C104" s="2" t="s">
        <v>46</v>
      </c>
      <c r="D104" s="3">
        <v>2018</v>
      </c>
      <c r="E104" s="3">
        <v>2020</v>
      </c>
      <c r="F104" s="224" t="s">
        <v>760</v>
      </c>
      <c r="G104" s="238">
        <v>3600</v>
      </c>
      <c r="H104" s="238">
        <v>2700</v>
      </c>
      <c r="I104" s="238">
        <v>40</v>
      </c>
      <c r="J104" s="238">
        <v>40</v>
      </c>
      <c r="K104" s="238">
        <v>798</v>
      </c>
      <c r="L104" s="36" t="s">
        <v>864</v>
      </c>
      <c r="M104" s="221"/>
      <c r="P104" s="172">
        <f t="shared" si="9"/>
        <v>838</v>
      </c>
      <c r="Q104" s="172">
        <f t="shared" si="10"/>
        <v>838</v>
      </c>
    </row>
    <row r="105" spans="1:231" s="235" customFormat="1" ht="25.5">
      <c r="A105" s="10">
        <v>7</v>
      </c>
      <c r="B105" s="62" t="s">
        <v>320</v>
      </c>
      <c r="C105" s="2" t="s">
        <v>46</v>
      </c>
      <c r="D105" s="3">
        <v>2018</v>
      </c>
      <c r="E105" s="3">
        <v>2020</v>
      </c>
      <c r="F105" s="224" t="s">
        <v>761</v>
      </c>
      <c r="G105" s="238">
        <v>3000</v>
      </c>
      <c r="H105" s="238">
        <v>3000</v>
      </c>
      <c r="I105" s="238">
        <v>40</v>
      </c>
      <c r="J105" s="238">
        <v>40</v>
      </c>
      <c r="K105" s="238">
        <v>798</v>
      </c>
      <c r="L105" s="36" t="s">
        <v>903</v>
      </c>
      <c r="M105" s="221"/>
      <c r="P105" s="172">
        <f t="shared" si="9"/>
        <v>838</v>
      </c>
      <c r="Q105" s="172">
        <f t="shared" si="10"/>
        <v>838</v>
      </c>
    </row>
    <row r="106" spans="1:231" s="235" customFormat="1" ht="31.5">
      <c r="A106" s="10">
        <v>8</v>
      </c>
      <c r="B106" s="62" t="s">
        <v>326</v>
      </c>
      <c r="C106" s="2" t="s">
        <v>10</v>
      </c>
      <c r="D106" s="3">
        <v>2018</v>
      </c>
      <c r="E106" s="3">
        <v>2020</v>
      </c>
      <c r="F106" s="224" t="s">
        <v>765</v>
      </c>
      <c r="G106" s="238">
        <v>3000</v>
      </c>
      <c r="H106" s="238">
        <v>3000</v>
      </c>
      <c r="I106" s="238">
        <v>40</v>
      </c>
      <c r="J106" s="238">
        <v>40</v>
      </c>
      <c r="K106" s="238">
        <v>798</v>
      </c>
      <c r="L106" s="36" t="s">
        <v>876</v>
      </c>
      <c r="M106" s="221"/>
      <c r="P106" s="172">
        <f t="shared" si="9"/>
        <v>838</v>
      </c>
      <c r="Q106" s="172">
        <f t="shared" si="10"/>
        <v>838</v>
      </c>
    </row>
    <row r="107" spans="1:231" s="235" customFormat="1" ht="31.5">
      <c r="A107" s="10">
        <v>9</v>
      </c>
      <c r="B107" s="62" t="s">
        <v>327</v>
      </c>
      <c r="C107" s="2" t="s">
        <v>10</v>
      </c>
      <c r="D107" s="3">
        <v>2018</v>
      </c>
      <c r="E107" s="3">
        <v>2020</v>
      </c>
      <c r="F107" s="224" t="s">
        <v>785</v>
      </c>
      <c r="G107" s="238">
        <v>3000</v>
      </c>
      <c r="H107" s="238">
        <v>3000</v>
      </c>
      <c r="I107" s="238">
        <v>40</v>
      </c>
      <c r="J107" s="238">
        <v>40</v>
      </c>
      <c r="K107" s="238">
        <v>798</v>
      </c>
      <c r="L107" s="36" t="s">
        <v>904</v>
      </c>
      <c r="M107" s="221"/>
      <c r="P107" s="172">
        <f t="shared" si="9"/>
        <v>838</v>
      </c>
      <c r="Q107" s="172">
        <f t="shared" si="10"/>
        <v>838</v>
      </c>
    </row>
    <row r="108" spans="1:231" s="235" customFormat="1" ht="31.5">
      <c r="A108" s="10">
        <v>10</v>
      </c>
      <c r="B108" s="62" t="s">
        <v>334</v>
      </c>
      <c r="C108" s="2" t="s">
        <v>17</v>
      </c>
      <c r="D108" s="3">
        <v>2018</v>
      </c>
      <c r="E108" s="3">
        <v>2020</v>
      </c>
      <c r="F108" s="224" t="s">
        <v>603</v>
      </c>
      <c r="G108" s="238">
        <v>3000</v>
      </c>
      <c r="H108" s="238">
        <v>3000</v>
      </c>
      <c r="I108" s="238">
        <v>40</v>
      </c>
      <c r="J108" s="238">
        <v>40</v>
      </c>
      <c r="K108" s="238">
        <v>810</v>
      </c>
      <c r="L108" s="36" t="s">
        <v>905</v>
      </c>
      <c r="M108" s="221"/>
      <c r="P108" s="172">
        <f t="shared" si="9"/>
        <v>850</v>
      </c>
      <c r="Q108" s="172">
        <f t="shared" si="10"/>
        <v>850</v>
      </c>
    </row>
    <row r="109" spans="1:231" s="235" customFormat="1" ht="31.5">
      <c r="A109" s="10">
        <v>11</v>
      </c>
      <c r="B109" s="62" t="s">
        <v>321</v>
      </c>
      <c r="C109" s="2" t="s">
        <v>44</v>
      </c>
      <c r="D109" s="3">
        <v>2018</v>
      </c>
      <c r="E109" s="3">
        <v>2020</v>
      </c>
      <c r="F109" s="224" t="s">
        <v>598</v>
      </c>
      <c r="G109" s="238">
        <v>3000</v>
      </c>
      <c r="H109" s="238">
        <v>3000</v>
      </c>
      <c r="I109" s="238">
        <v>40</v>
      </c>
      <c r="J109" s="238">
        <v>40</v>
      </c>
      <c r="K109" s="238">
        <v>798</v>
      </c>
      <c r="L109" s="36" t="s">
        <v>906</v>
      </c>
      <c r="M109" s="221"/>
      <c r="P109" s="172">
        <f t="shared" si="9"/>
        <v>838</v>
      </c>
      <c r="Q109" s="172">
        <f t="shared" si="10"/>
        <v>838</v>
      </c>
    </row>
    <row r="110" spans="1:231" s="235" customFormat="1" ht="31.5">
      <c r="A110" s="10">
        <v>12</v>
      </c>
      <c r="B110" s="62" t="s">
        <v>907</v>
      </c>
      <c r="C110" s="2" t="s">
        <v>33</v>
      </c>
      <c r="D110" s="3">
        <v>2018</v>
      </c>
      <c r="E110" s="3">
        <v>2020</v>
      </c>
      <c r="F110" s="224" t="s">
        <v>757</v>
      </c>
      <c r="G110" s="238">
        <v>4800</v>
      </c>
      <c r="H110" s="238">
        <v>3200</v>
      </c>
      <c r="I110" s="238">
        <v>40</v>
      </c>
      <c r="J110" s="238">
        <v>40</v>
      </c>
      <c r="K110" s="238">
        <v>852</v>
      </c>
      <c r="L110" s="36" t="s">
        <v>908</v>
      </c>
      <c r="M110" s="221"/>
      <c r="P110" s="172">
        <f t="shared" si="9"/>
        <v>892</v>
      </c>
      <c r="Q110" s="172">
        <f t="shared" si="10"/>
        <v>892</v>
      </c>
    </row>
    <row r="111" spans="1:231" s="235" customFormat="1" ht="25.5">
      <c r="A111" s="10">
        <v>13</v>
      </c>
      <c r="B111" s="62" t="s">
        <v>335</v>
      </c>
      <c r="C111" s="2" t="s">
        <v>46</v>
      </c>
      <c r="D111" s="3">
        <v>2018</v>
      </c>
      <c r="E111" s="3">
        <v>2020</v>
      </c>
      <c r="F111" s="224" t="s">
        <v>909</v>
      </c>
      <c r="G111" s="238">
        <v>2984</v>
      </c>
      <c r="H111" s="238">
        <f>G111</f>
        <v>2984</v>
      </c>
      <c r="I111" s="238">
        <v>0</v>
      </c>
      <c r="J111" s="238">
        <v>0</v>
      </c>
      <c r="K111" s="238">
        <v>864</v>
      </c>
      <c r="L111" s="36" t="s">
        <v>910</v>
      </c>
      <c r="M111" s="221"/>
      <c r="P111" s="172">
        <f t="shared" si="9"/>
        <v>864</v>
      </c>
      <c r="Q111" s="172">
        <f t="shared" si="10"/>
        <v>864</v>
      </c>
    </row>
    <row r="112" spans="1:231" s="235" customFormat="1" ht="31.5">
      <c r="A112" s="10">
        <v>14</v>
      </c>
      <c r="B112" s="62" t="s">
        <v>317</v>
      </c>
      <c r="C112" s="2" t="s">
        <v>17</v>
      </c>
      <c r="D112" s="3">
        <v>2018</v>
      </c>
      <c r="E112" s="3">
        <v>2020</v>
      </c>
      <c r="F112" s="224" t="s">
        <v>767</v>
      </c>
      <c r="G112" s="238">
        <v>3700</v>
      </c>
      <c r="H112" s="238">
        <v>3700</v>
      </c>
      <c r="I112" s="238">
        <v>40</v>
      </c>
      <c r="J112" s="238">
        <v>40</v>
      </c>
      <c r="K112" s="238">
        <v>987</v>
      </c>
      <c r="L112" s="36" t="s">
        <v>911</v>
      </c>
      <c r="M112" s="221"/>
      <c r="P112" s="172">
        <f t="shared" si="9"/>
        <v>1027</v>
      </c>
      <c r="Q112" s="172">
        <f t="shared" si="10"/>
        <v>1027</v>
      </c>
    </row>
    <row r="113" spans="1:17" s="235" customFormat="1" ht="30">
      <c r="A113" s="10">
        <v>15</v>
      </c>
      <c r="B113" s="62" t="s">
        <v>609</v>
      </c>
      <c r="C113" s="2" t="s">
        <v>49</v>
      </c>
      <c r="D113" s="3">
        <v>2018</v>
      </c>
      <c r="E113" s="3">
        <v>2020</v>
      </c>
      <c r="F113" s="32" t="s">
        <v>912</v>
      </c>
      <c r="G113" s="238">
        <v>6500</v>
      </c>
      <c r="H113" s="238">
        <v>3900</v>
      </c>
      <c r="I113" s="238">
        <v>0</v>
      </c>
      <c r="J113" s="238">
        <v>0</v>
      </c>
      <c r="K113" s="238">
        <v>1170</v>
      </c>
      <c r="L113" s="36" t="s">
        <v>913</v>
      </c>
      <c r="M113" s="221"/>
      <c r="P113" s="172">
        <f t="shared" si="9"/>
        <v>1170</v>
      </c>
      <c r="Q113" s="172">
        <f t="shared" si="10"/>
        <v>1170</v>
      </c>
    </row>
    <row r="114" spans="1:17" s="235" customFormat="1" ht="31.5">
      <c r="A114" s="10">
        <v>16</v>
      </c>
      <c r="B114" s="62" t="s">
        <v>492</v>
      </c>
      <c r="C114" s="2" t="s">
        <v>33</v>
      </c>
      <c r="D114" s="3">
        <v>2018</v>
      </c>
      <c r="E114" s="3">
        <v>2020</v>
      </c>
      <c r="F114" s="224" t="s">
        <v>530</v>
      </c>
      <c r="G114" s="238">
        <v>3996</v>
      </c>
      <c r="H114" s="238">
        <v>3996</v>
      </c>
      <c r="I114" s="238">
        <v>40</v>
      </c>
      <c r="J114" s="238">
        <v>40</v>
      </c>
      <c r="K114" s="238">
        <v>1066.8</v>
      </c>
      <c r="L114" s="239" t="s">
        <v>914</v>
      </c>
      <c r="M114" s="240"/>
      <c r="P114" s="172">
        <f t="shared" si="9"/>
        <v>1106.8</v>
      </c>
      <c r="Q114" s="172">
        <f t="shared" si="10"/>
        <v>1106.8</v>
      </c>
    </row>
    <row r="115" spans="1:17" s="235" customFormat="1" ht="31.5">
      <c r="A115" s="10">
        <v>17</v>
      </c>
      <c r="B115" s="62" t="s">
        <v>915</v>
      </c>
      <c r="C115" s="2" t="s">
        <v>49</v>
      </c>
      <c r="D115" s="3">
        <v>2018</v>
      </c>
      <c r="E115" s="3">
        <v>2020</v>
      </c>
      <c r="F115" s="224" t="s">
        <v>643</v>
      </c>
      <c r="G115" s="238">
        <v>4000</v>
      </c>
      <c r="H115" s="238">
        <v>4000</v>
      </c>
      <c r="I115" s="238">
        <v>40</v>
      </c>
      <c r="J115" s="238">
        <v>40</v>
      </c>
      <c r="K115" s="238">
        <v>1068</v>
      </c>
      <c r="L115" s="239" t="s">
        <v>916</v>
      </c>
      <c r="M115" s="240"/>
      <c r="P115" s="172">
        <f t="shared" si="9"/>
        <v>1108</v>
      </c>
      <c r="Q115" s="172">
        <f t="shared" si="10"/>
        <v>1108</v>
      </c>
    </row>
    <row r="116" spans="1:17" s="235" customFormat="1" ht="31.5">
      <c r="A116" s="10">
        <v>18</v>
      </c>
      <c r="B116" s="62" t="s">
        <v>315</v>
      </c>
      <c r="C116" s="2" t="s">
        <v>33</v>
      </c>
      <c r="D116" s="3">
        <v>2018</v>
      </c>
      <c r="E116" s="3">
        <v>2020</v>
      </c>
      <c r="F116" s="224" t="s">
        <v>758</v>
      </c>
      <c r="G116" s="238">
        <v>4000</v>
      </c>
      <c r="H116" s="238">
        <v>4000</v>
      </c>
      <c r="I116" s="238">
        <v>40</v>
      </c>
      <c r="J116" s="238">
        <v>40</v>
      </c>
      <c r="K116" s="238">
        <v>1068</v>
      </c>
      <c r="L116" s="239" t="s">
        <v>914</v>
      </c>
      <c r="M116" s="240"/>
      <c r="P116" s="172">
        <f t="shared" si="9"/>
        <v>1108</v>
      </c>
      <c r="Q116" s="172">
        <f t="shared" si="10"/>
        <v>1108</v>
      </c>
    </row>
    <row r="117" spans="1:17" s="235" customFormat="1" ht="31.5">
      <c r="A117" s="10">
        <v>19</v>
      </c>
      <c r="B117" s="62" t="s">
        <v>475</v>
      </c>
      <c r="C117" s="2" t="s">
        <v>46</v>
      </c>
      <c r="D117" s="3">
        <v>2018</v>
      </c>
      <c r="E117" s="3">
        <v>2020</v>
      </c>
      <c r="F117" s="224" t="s">
        <v>594</v>
      </c>
      <c r="G117" s="238">
        <v>4000</v>
      </c>
      <c r="H117" s="238">
        <v>4000</v>
      </c>
      <c r="I117" s="238">
        <v>40</v>
      </c>
      <c r="J117" s="238">
        <v>40</v>
      </c>
      <c r="K117" s="238">
        <v>1068</v>
      </c>
      <c r="L117" s="36" t="s">
        <v>917</v>
      </c>
      <c r="M117" s="221"/>
      <c r="P117" s="172">
        <f t="shared" si="9"/>
        <v>1108</v>
      </c>
      <c r="Q117" s="172">
        <f t="shared" si="10"/>
        <v>1108</v>
      </c>
    </row>
    <row r="118" spans="1:17" s="235" customFormat="1" ht="25.5">
      <c r="A118" s="10">
        <v>20</v>
      </c>
      <c r="B118" s="62" t="s">
        <v>330</v>
      </c>
      <c r="C118" s="2" t="s">
        <v>49</v>
      </c>
      <c r="D118" s="3">
        <v>2018</v>
      </c>
      <c r="E118" s="3">
        <v>2020</v>
      </c>
      <c r="F118" s="224" t="s">
        <v>755</v>
      </c>
      <c r="G118" s="238">
        <v>4169</v>
      </c>
      <c r="H118" s="238">
        <v>4169</v>
      </c>
      <c r="I118" s="238">
        <v>40</v>
      </c>
      <c r="J118" s="238">
        <v>40</v>
      </c>
      <c r="K118" s="238">
        <v>1122</v>
      </c>
      <c r="L118" s="239" t="s">
        <v>853</v>
      </c>
      <c r="M118" s="240"/>
      <c r="P118" s="172">
        <f t="shared" si="9"/>
        <v>1162</v>
      </c>
      <c r="Q118" s="172">
        <f t="shared" si="10"/>
        <v>1162</v>
      </c>
    </row>
    <row r="119" spans="1:17" s="235" customFormat="1" ht="25.5">
      <c r="A119" s="10">
        <v>21</v>
      </c>
      <c r="B119" s="62" t="s">
        <v>338</v>
      </c>
      <c r="C119" s="2" t="s">
        <v>46</v>
      </c>
      <c r="D119" s="3">
        <v>2018</v>
      </c>
      <c r="E119" s="3">
        <v>2020</v>
      </c>
      <c r="F119" s="224" t="s">
        <v>532</v>
      </c>
      <c r="G119" s="238">
        <v>4500</v>
      </c>
      <c r="H119" s="238">
        <v>4500</v>
      </c>
      <c r="I119" s="238">
        <v>40</v>
      </c>
      <c r="J119" s="238">
        <v>40</v>
      </c>
      <c r="K119" s="238">
        <v>1188</v>
      </c>
      <c r="L119" s="36" t="s">
        <v>918</v>
      </c>
      <c r="M119" s="221"/>
      <c r="P119" s="172">
        <f t="shared" si="9"/>
        <v>1228</v>
      </c>
      <c r="Q119" s="172">
        <f t="shared" si="10"/>
        <v>1228</v>
      </c>
    </row>
    <row r="120" spans="1:17" s="235" customFormat="1" ht="31.5">
      <c r="A120" s="10">
        <v>22</v>
      </c>
      <c r="B120" s="62" t="s">
        <v>331</v>
      </c>
      <c r="C120" s="2" t="s">
        <v>17</v>
      </c>
      <c r="D120" s="3">
        <v>2018</v>
      </c>
      <c r="E120" s="3">
        <v>2020</v>
      </c>
      <c r="F120" s="224" t="s">
        <v>749</v>
      </c>
      <c r="G120" s="238">
        <v>4500</v>
      </c>
      <c r="H120" s="238">
        <v>4500</v>
      </c>
      <c r="I120" s="238">
        <v>0</v>
      </c>
      <c r="J120" s="238">
        <v>0</v>
      </c>
      <c r="K120" s="238">
        <v>1215</v>
      </c>
      <c r="L120" s="36" t="s">
        <v>919</v>
      </c>
      <c r="M120" s="221"/>
      <c r="P120" s="172">
        <f t="shared" si="9"/>
        <v>1215</v>
      </c>
      <c r="Q120" s="172">
        <f t="shared" si="10"/>
        <v>1215</v>
      </c>
    </row>
    <row r="121" spans="1:17" s="235" customFormat="1" ht="25.5">
      <c r="A121" s="10">
        <v>23</v>
      </c>
      <c r="B121" s="62" t="s">
        <v>323</v>
      </c>
      <c r="C121" s="2" t="s">
        <v>49</v>
      </c>
      <c r="D121" s="3">
        <v>2018</v>
      </c>
      <c r="E121" s="3">
        <v>2020</v>
      </c>
      <c r="F121" s="224" t="s">
        <v>600</v>
      </c>
      <c r="G121" s="238">
        <v>4800</v>
      </c>
      <c r="H121" s="238">
        <v>4800</v>
      </c>
      <c r="I121" s="238">
        <v>40</v>
      </c>
      <c r="J121" s="238">
        <v>40</v>
      </c>
      <c r="K121" s="238">
        <v>1284</v>
      </c>
      <c r="L121" s="36" t="s">
        <v>920</v>
      </c>
      <c r="M121" s="221"/>
      <c r="P121" s="172">
        <f t="shared" si="9"/>
        <v>1324</v>
      </c>
      <c r="Q121" s="172">
        <f t="shared" si="10"/>
        <v>1324</v>
      </c>
    </row>
    <row r="122" spans="1:17" s="235" customFormat="1" ht="31.5">
      <c r="A122" s="10">
        <v>24</v>
      </c>
      <c r="B122" s="62" t="s">
        <v>332</v>
      </c>
      <c r="C122" s="2" t="s">
        <v>46</v>
      </c>
      <c r="D122" s="3">
        <v>2018</v>
      </c>
      <c r="E122" s="3">
        <v>2020</v>
      </c>
      <c r="F122" s="224" t="s">
        <v>763</v>
      </c>
      <c r="G122" s="238">
        <v>4800</v>
      </c>
      <c r="H122" s="238">
        <v>4800</v>
      </c>
      <c r="I122" s="238">
        <v>0</v>
      </c>
      <c r="J122" s="238">
        <v>0</v>
      </c>
      <c r="K122" s="238">
        <v>1296</v>
      </c>
      <c r="L122" s="239" t="s">
        <v>921</v>
      </c>
      <c r="M122" s="240"/>
      <c r="P122" s="172">
        <f t="shared" si="9"/>
        <v>1296</v>
      </c>
      <c r="Q122" s="172">
        <f t="shared" si="10"/>
        <v>1296</v>
      </c>
    </row>
    <row r="123" spans="1:17" s="235" customFormat="1" ht="31.5">
      <c r="A123" s="10">
        <v>25</v>
      </c>
      <c r="B123" s="62" t="s">
        <v>324</v>
      </c>
      <c r="C123" s="2" t="s">
        <v>17</v>
      </c>
      <c r="D123" s="3">
        <v>2018</v>
      </c>
      <c r="E123" s="3">
        <v>2020</v>
      </c>
      <c r="F123" s="224" t="s">
        <v>601</v>
      </c>
      <c r="G123" s="238">
        <v>4784</v>
      </c>
      <c r="H123" s="238">
        <v>4784</v>
      </c>
      <c r="I123" s="238">
        <v>40</v>
      </c>
      <c r="J123" s="238">
        <v>40</v>
      </c>
      <c r="K123" s="238">
        <v>1284</v>
      </c>
      <c r="L123" s="36" t="s">
        <v>922</v>
      </c>
      <c r="M123" s="221"/>
      <c r="P123" s="172">
        <f t="shared" si="9"/>
        <v>1324</v>
      </c>
      <c r="Q123" s="172">
        <f t="shared" si="10"/>
        <v>1324</v>
      </c>
    </row>
    <row r="124" spans="1:17" s="235" customFormat="1" ht="31.5">
      <c r="A124" s="10">
        <v>26</v>
      </c>
      <c r="B124" s="62" t="s">
        <v>638</v>
      </c>
      <c r="C124" s="2" t="s">
        <v>49</v>
      </c>
      <c r="D124" s="3">
        <v>2018</v>
      </c>
      <c r="E124" s="3">
        <v>2020</v>
      </c>
      <c r="F124" s="224" t="s">
        <v>754</v>
      </c>
      <c r="G124" s="238">
        <v>5890</v>
      </c>
      <c r="H124" s="238">
        <v>5000</v>
      </c>
      <c r="I124" s="238">
        <v>60</v>
      </c>
      <c r="J124" s="238">
        <v>60</v>
      </c>
      <c r="K124" s="238">
        <v>1332</v>
      </c>
      <c r="L124" s="239" t="s">
        <v>892</v>
      </c>
      <c r="M124" s="240"/>
      <c r="P124" s="172">
        <f t="shared" si="9"/>
        <v>1392</v>
      </c>
      <c r="Q124" s="172">
        <f t="shared" si="10"/>
        <v>1392</v>
      </c>
    </row>
    <row r="125" spans="1:17" s="235" customFormat="1" ht="31.5">
      <c r="A125" s="10">
        <v>27</v>
      </c>
      <c r="B125" s="62" t="s">
        <v>336</v>
      </c>
      <c r="C125" s="2" t="s">
        <v>49</v>
      </c>
      <c r="D125" s="3">
        <v>2018</v>
      </c>
      <c r="E125" s="3">
        <v>2020</v>
      </c>
      <c r="F125" s="224" t="s">
        <v>756</v>
      </c>
      <c r="G125" s="238">
        <v>5000</v>
      </c>
      <c r="H125" s="238">
        <v>5000</v>
      </c>
      <c r="I125" s="238">
        <v>60</v>
      </c>
      <c r="J125" s="238">
        <v>60</v>
      </c>
      <c r="K125" s="238">
        <v>1332</v>
      </c>
      <c r="L125" s="239" t="s">
        <v>923</v>
      </c>
      <c r="M125" s="240"/>
      <c r="P125" s="172">
        <f t="shared" si="9"/>
        <v>1392</v>
      </c>
      <c r="Q125" s="172">
        <f t="shared" si="10"/>
        <v>1392</v>
      </c>
    </row>
    <row r="126" spans="1:17" s="235" customFormat="1" ht="31.5">
      <c r="A126" s="10">
        <v>28</v>
      </c>
      <c r="B126" s="62" t="s">
        <v>607</v>
      </c>
      <c r="C126" s="2" t="s">
        <v>17</v>
      </c>
      <c r="D126" s="3">
        <v>2018</v>
      </c>
      <c r="E126" s="3">
        <v>2020</v>
      </c>
      <c r="F126" s="224" t="s">
        <v>608</v>
      </c>
      <c r="G126" s="238">
        <v>5500</v>
      </c>
      <c r="H126" s="238">
        <v>5500</v>
      </c>
      <c r="I126" s="238">
        <v>0</v>
      </c>
      <c r="J126" s="238">
        <v>0</v>
      </c>
      <c r="K126" s="238">
        <v>891</v>
      </c>
      <c r="L126" s="239" t="s">
        <v>924</v>
      </c>
      <c r="M126" s="240"/>
      <c r="P126" s="172">
        <f t="shared" si="9"/>
        <v>891</v>
      </c>
      <c r="Q126" s="172">
        <f t="shared" si="10"/>
        <v>891</v>
      </c>
    </row>
    <row r="127" spans="1:17" s="235" customFormat="1" ht="31.5">
      <c r="A127" s="10">
        <v>29</v>
      </c>
      <c r="B127" s="62" t="s">
        <v>596</v>
      </c>
      <c r="C127" s="2" t="s">
        <v>44</v>
      </c>
      <c r="D127" s="3">
        <v>2018</v>
      </c>
      <c r="E127" s="3">
        <v>2020</v>
      </c>
      <c r="F127" s="224" t="s">
        <v>597</v>
      </c>
      <c r="G127" s="238">
        <v>5700</v>
      </c>
      <c r="H127" s="238">
        <v>5700</v>
      </c>
      <c r="I127" s="238">
        <v>50</v>
      </c>
      <c r="J127" s="238">
        <v>50</v>
      </c>
      <c r="K127" s="238">
        <v>1524</v>
      </c>
      <c r="L127" s="239" t="s">
        <v>925</v>
      </c>
      <c r="M127" s="240"/>
      <c r="P127" s="172">
        <f t="shared" si="9"/>
        <v>1574</v>
      </c>
      <c r="Q127" s="172">
        <f t="shared" si="10"/>
        <v>1574</v>
      </c>
    </row>
    <row r="128" spans="1:17" s="235" customFormat="1" ht="31.5">
      <c r="A128" s="10">
        <v>30</v>
      </c>
      <c r="B128" s="62" t="s">
        <v>318</v>
      </c>
      <c r="C128" s="2" t="s">
        <v>10</v>
      </c>
      <c r="D128" s="3">
        <v>2018</v>
      </c>
      <c r="E128" s="3">
        <v>2020</v>
      </c>
      <c r="F128" s="224" t="s">
        <v>766</v>
      </c>
      <c r="G128" s="238">
        <v>5742</v>
      </c>
      <c r="H128" s="238">
        <f>G128</f>
        <v>5742</v>
      </c>
      <c r="I128" s="238">
        <v>60</v>
      </c>
      <c r="J128" s="238">
        <v>60</v>
      </c>
      <c r="K128" s="238">
        <v>1710</v>
      </c>
      <c r="L128" s="239" t="s">
        <v>926</v>
      </c>
      <c r="M128" s="240"/>
      <c r="P128" s="172">
        <f t="shared" si="9"/>
        <v>1770</v>
      </c>
      <c r="Q128" s="172">
        <f t="shared" si="10"/>
        <v>1770</v>
      </c>
    </row>
    <row r="129" spans="1:231" s="235" customFormat="1" ht="31.5">
      <c r="A129" s="10">
        <v>31</v>
      </c>
      <c r="B129" s="62" t="s">
        <v>460</v>
      </c>
      <c r="C129" s="2" t="s">
        <v>33</v>
      </c>
      <c r="D129" s="3">
        <v>2018</v>
      </c>
      <c r="E129" s="3">
        <v>2020</v>
      </c>
      <c r="F129" s="224" t="s">
        <v>759</v>
      </c>
      <c r="G129" s="238">
        <v>6500</v>
      </c>
      <c r="H129" s="238">
        <v>6500</v>
      </c>
      <c r="I129" s="238">
        <v>60</v>
      </c>
      <c r="J129" s="238">
        <v>60</v>
      </c>
      <c r="K129" s="238">
        <v>1737</v>
      </c>
      <c r="L129" s="36" t="s">
        <v>927</v>
      </c>
      <c r="M129" s="221"/>
      <c r="P129" s="172">
        <f t="shared" si="9"/>
        <v>1797</v>
      </c>
      <c r="Q129" s="172">
        <f t="shared" si="10"/>
        <v>1797</v>
      </c>
    </row>
    <row r="130" spans="1:231" s="235" customFormat="1" ht="15.75">
      <c r="A130" s="19" t="s">
        <v>567</v>
      </c>
      <c r="B130" s="53" t="s">
        <v>561</v>
      </c>
      <c r="C130" s="141"/>
      <c r="D130" s="21"/>
      <c r="E130" s="21"/>
      <c r="F130" s="241"/>
      <c r="G130" s="166">
        <f>SUBTOTAL(9,G131:G132)</f>
        <v>1662</v>
      </c>
      <c r="H130" s="166">
        <f t="shared" ref="H130:K130" si="11">SUBTOTAL(9,H131:H132)</f>
        <v>1662</v>
      </c>
      <c r="I130" s="166">
        <f t="shared" si="11"/>
        <v>0</v>
      </c>
      <c r="J130" s="166">
        <f t="shared" si="11"/>
        <v>0</v>
      </c>
      <c r="K130" s="166">
        <f t="shared" si="11"/>
        <v>1495</v>
      </c>
      <c r="L130" s="38"/>
      <c r="M130" s="167"/>
      <c r="P130" s="172">
        <f t="shared" si="9"/>
        <v>1495</v>
      </c>
      <c r="Q130" s="172">
        <f t="shared" si="10"/>
        <v>1495</v>
      </c>
    </row>
    <row r="131" spans="1:231" s="235" customFormat="1" ht="15.75">
      <c r="A131" s="175" t="s">
        <v>821</v>
      </c>
      <c r="B131" s="232" t="s">
        <v>524</v>
      </c>
      <c r="C131" s="177"/>
      <c r="D131" s="178"/>
      <c r="E131" s="178"/>
      <c r="F131" s="234"/>
      <c r="G131" s="215"/>
      <c r="H131" s="215"/>
      <c r="I131" s="215"/>
      <c r="J131" s="215"/>
      <c r="K131" s="215"/>
      <c r="L131" s="181"/>
      <c r="M131" s="182"/>
      <c r="P131" s="172">
        <f t="shared" si="9"/>
        <v>0</v>
      </c>
      <c r="Q131" s="172">
        <f t="shared" si="10"/>
        <v>0</v>
      </c>
    </row>
    <row r="132" spans="1:231" s="244" customFormat="1" ht="31.5">
      <c r="A132" s="22">
        <v>1</v>
      </c>
      <c r="B132" s="24" t="s">
        <v>928</v>
      </c>
      <c r="C132" s="101" t="s">
        <v>26</v>
      </c>
      <c r="D132" s="3">
        <v>2018</v>
      </c>
      <c r="E132" s="3">
        <v>2020</v>
      </c>
      <c r="F132" s="242" t="s">
        <v>528</v>
      </c>
      <c r="G132" s="243">
        <v>1662</v>
      </c>
      <c r="H132" s="243">
        <f>G132</f>
        <v>1662</v>
      </c>
      <c r="I132" s="35">
        <v>0</v>
      </c>
      <c r="J132" s="35">
        <v>0</v>
      </c>
      <c r="K132" s="243">
        <v>1495</v>
      </c>
      <c r="L132" s="239" t="s">
        <v>929</v>
      </c>
      <c r="M132" s="240"/>
      <c r="P132" s="172">
        <f t="shared" si="9"/>
        <v>1495</v>
      </c>
      <c r="Q132" s="172">
        <f t="shared" si="10"/>
        <v>1495</v>
      </c>
    </row>
    <row r="133" spans="1:231" s="8" customFormat="1" ht="15.75">
      <c r="A133" s="141" t="s">
        <v>568</v>
      </c>
      <c r="B133" s="142" t="s">
        <v>661</v>
      </c>
      <c r="C133" s="2"/>
      <c r="D133" s="2"/>
      <c r="E133" s="2"/>
      <c r="F133" s="159"/>
      <c r="G133" s="166">
        <f>SUBTOTAL(9,G134:G143)</f>
        <v>139989</v>
      </c>
      <c r="H133" s="166">
        <f t="shared" ref="H133:K133" si="12">SUBTOTAL(9,H134:H143)</f>
        <v>72838</v>
      </c>
      <c r="I133" s="166">
        <f t="shared" si="12"/>
        <v>116405</v>
      </c>
      <c r="J133" s="166">
        <f t="shared" si="12"/>
        <v>65889</v>
      </c>
      <c r="K133" s="166">
        <f t="shared" si="12"/>
        <v>6917</v>
      </c>
      <c r="L133" s="9"/>
      <c r="M133" s="113"/>
      <c r="P133" s="172">
        <f t="shared" si="9"/>
        <v>123322</v>
      </c>
      <c r="Q133" s="172">
        <f t="shared" si="10"/>
        <v>72806</v>
      </c>
    </row>
    <row r="134" spans="1:231" s="8" customFormat="1" ht="31.5">
      <c r="A134" s="10">
        <v>1</v>
      </c>
      <c r="B134" s="62" t="s">
        <v>65</v>
      </c>
      <c r="C134" s="218" t="s">
        <v>44</v>
      </c>
      <c r="D134" s="3">
        <v>2014</v>
      </c>
      <c r="E134" s="3">
        <v>2016</v>
      </c>
      <c r="F134" s="185" t="s">
        <v>66</v>
      </c>
      <c r="G134" s="245">
        <v>3735</v>
      </c>
      <c r="H134" s="220">
        <v>3361</v>
      </c>
      <c r="I134" s="245">
        <v>3300</v>
      </c>
      <c r="J134" s="245">
        <f>I134</f>
        <v>3300</v>
      </c>
      <c r="K134" s="246">
        <v>61</v>
      </c>
      <c r="L134" s="247" t="s">
        <v>930</v>
      </c>
      <c r="M134" s="248"/>
      <c r="P134" s="172">
        <f t="shared" si="9"/>
        <v>3361</v>
      </c>
      <c r="Q134" s="172">
        <f t="shared" si="10"/>
        <v>3361</v>
      </c>
    </row>
    <row r="135" spans="1:231" s="254" customFormat="1" ht="31.5">
      <c r="A135" s="168">
        <v>2</v>
      </c>
      <c r="B135" s="169" t="s">
        <v>931</v>
      </c>
      <c r="C135" s="140" t="s">
        <v>10</v>
      </c>
      <c r="D135" s="249">
        <v>2014</v>
      </c>
      <c r="E135" s="249" t="s">
        <v>343</v>
      </c>
      <c r="F135" s="185" t="s">
        <v>346</v>
      </c>
      <c r="G135" s="250">
        <v>13414</v>
      </c>
      <c r="H135" s="251">
        <f>G135</f>
        <v>13414</v>
      </c>
      <c r="I135" s="252">
        <v>13000</v>
      </c>
      <c r="J135" s="253">
        <v>13000</v>
      </c>
      <c r="K135" s="253">
        <v>166</v>
      </c>
      <c r="L135" s="247" t="s">
        <v>880</v>
      </c>
      <c r="M135" s="248"/>
      <c r="N135" s="12"/>
      <c r="O135" s="12"/>
      <c r="P135" s="172">
        <f t="shared" si="9"/>
        <v>13166</v>
      </c>
      <c r="Q135" s="172">
        <f t="shared" si="10"/>
        <v>13166</v>
      </c>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2"/>
      <c r="CA135" s="12"/>
      <c r="CB135" s="12"/>
      <c r="CC135" s="12"/>
      <c r="CD135" s="12"/>
      <c r="CE135" s="12"/>
      <c r="CF135" s="12"/>
      <c r="CG135" s="12"/>
      <c r="CH135" s="12"/>
      <c r="CI135" s="12"/>
      <c r="CJ135" s="12"/>
      <c r="CK135" s="12"/>
      <c r="CL135" s="12"/>
      <c r="CM135" s="12"/>
      <c r="CN135" s="12"/>
      <c r="CO135" s="12"/>
      <c r="CP135" s="12"/>
      <c r="CQ135" s="12"/>
      <c r="CR135" s="12"/>
      <c r="CS135" s="12"/>
      <c r="CT135" s="12"/>
      <c r="CU135" s="12"/>
      <c r="CV135" s="12"/>
      <c r="CW135" s="12"/>
      <c r="CX135" s="12"/>
      <c r="CY135" s="12"/>
      <c r="CZ135" s="12"/>
      <c r="DA135" s="12"/>
      <c r="DB135" s="12"/>
      <c r="DC135" s="12"/>
      <c r="DD135" s="12"/>
      <c r="DE135" s="12"/>
      <c r="DF135" s="12"/>
      <c r="DG135" s="12"/>
      <c r="DH135" s="12"/>
      <c r="DI135" s="12"/>
      <c r="DJ135" s="12"/>
      <c r="DK135" s="12"/>
      <c r="DL135" s="12"/>
      <c r="DM135" s="12"/>
      <c r="DN135" s="12"/>
      <c r="DO135" s="12"/>
      <c r="DP135" s="12"/>
      <c r="DQ135" s="12"/>
      <c r="DR135" s="12"/>
      <c r="DS135" s="12"/>
      <c r="DT135" s="12"/>
      <c r="DU135" s="12"/>
      <c r="DV135" s="12"/>
      <c r="DW135" s="12"/>
      <c r="DX135" s="12"/>
      <c r="DY135" s="12"/>
      <c r="DZ135" s="12"/>
      <c r="EA135" s="12"/>
      <c r="EB135" s="12"/>
      <c r="EC135" s="12"/>
      <c r="ED135" s="12"/>
      <c r="EE135" s="12"/>
      <c r="EF135" s="12"/>
      <c r="EG135" s="12"/>
      <c r="EH135" s="12"/>
      <c r="EI135" s="12"/>
      <c r="EJ135" s="12"/>
      <c r="EK135" s="12"/>
      <c r="EL135" s="12"/>
      <c r="EM135" s="12"/>
      <c r="EN135" s="12"/>
      <c r="EO135" s="12"/>
      <c r="EP135" s="12"/>
      <c r="EQ135" s="12"/>
      <c r="ER135" s="12"/>
      <c r="ES135" s="12"/>
      <c r="ET135" s="12"/>
      <c r="EU135" s="12"/>
      <c r="EV135" s="12"/>
      <c r="EW135" s="12"/>
      <c r="EX135" s="12"/>
      <c r="EY135" s="12"/>
      <c r="EZ135" s="12"/>
      <c r="FA135" s="12"/>
      <c r="FB135" s="12"/>
      <c r="FC135" s="12"/>
      <c r="FD135" s="12"/>
      <c r="FE135" s="12"/>
      <c r="FF135" s="12"/>
      <c r="FG135" s="12"/>
      <c r="FH135" s="12"/>
      <c r="FI135" s="12"/>
      <c r="FJ135" s="12"/>
      <c r="FK135" s="12"/>
      <c r="FL135" s="12"/>
      <c r="FM135" s="12"/>
      <c r="FN135" s="12"/>
      <c r="FO135" s="12"/>
      <c r="FP135" s="12"/>
      <c r="FQ135" s="12"/>
      <c r="FR135" s="12"/>
      <c r="FS135" s="12"/>
      <c r="FT135" s="12"/>
      <c r="FU135" s="12"/>
      <c r="FV135" s="12"/>
      <c r="FW135" s="12"/>
      <c r="FX135" s="12"/>
      <c r="FY135" s="12"/>
      <c r="FZ135" s="12"/>
      <c r="GA135" s="12"/>
      <c r="GB135" s="12"/>
      <c r="GC135" s="12"/>
      <c r="GD135" s="12"/>
      <c r="GE135" s="12"/>
      <c r="GF135" s="12"/>
      <c r="GG135" s="12"/>
      <c r="GH135" s="12"/>
      <c r="GI135" s="12"/>
      <c r="GJ135" s="12"/>
      <c r="GK135" s="12"/>
      <c r="GL135" s="12"/>
      <c r="GM135" s="12"/>
      <c r="GN135" s="12"/>
      <c r="GO135" s="12"/>
      <c r="GP135" s="12"/>
      <c r="GQ135" s="12"/>
      <c r="GR135" s="12"/>
      <c r="GS135" s="12"/>
      <c r="GT135" s="12"/>
      <c r="GU135" s="12"/>
      <c r="GV135" s="12"/>
      <c r="GW135" s="12"/>
      <c r="GX135" s="12"/>
      <c r="GY135" s="12"/>
      <c r="GZ135" s="12"/>
      <c r="HA135" s="12"/>
      <c r="HB135" s="12"/>
      <c r="HC135" s="12"/>
      <c r="HD135" s="12"/>
      <c r="HE135" s="12"/>
      <c r="HF135" s="12"/>
      <c r="HG135" s="12"/>
      <c r="HH135" s="12"/>
      <c r="HI135" s="12"/>
      <c r="HJ135" s="12"/>
      <c r="HK135" s="12"/>
      <c r="HL135" s="12"/>
      <c r="HM135" s="12"/>
      <c r="HN135" s="12"/>
      <c r="HO135" s="12"/>
      <c r="HP135" s="12"/>
      <c r="HQ135" s="12"/>
      <c r="HR135" s="12"/>
      <c r="HS135" s="12"/>
      <c r="HT135" s="12"/>
      <c r="HU135" s="12"/>
      <c r="HV135" s="12"/>
      <c r="HW135" s="12"/>
    </row>
    <row r="136" spans="1:231" s="60" customFormat="1" ht="31.5">
      <c r="A136" s="10">
        <v>3</v>
      </c>
      <c r="B136" s="255" t="s">
        <v>40</v>
      </c>
      <c r="C136" s="4" t="s">
        <v>9</v>
      </c>
      <c r="D136" s="3">
        <v>2010</v>
      </c>
      <c r="E136" s="3">
        <v>2012</v>
      </c>
      <c r="F136" s="256" t="s">
        <v>636</v>
      </c>
      <c r="G136" s="253">
        <v>15990</v>
      </c>
      <c r="H136" s="251">
        <f>G136</f>
        <v>15990</v>
      </c>
      <c r="I136" s="253">
        <v>15599</v>
      </c>
      <c r="J136" s="253">
        <f>I136</f>
        <v>15599</v>
      </c>
      <c r="K136" s="253">
        <v>190</v>
      </c>
      <c r="L136" s="247" t="s">
        <v>932</v>
      </c>
      <c r="M136" s="248"/>
      <c r="N136" s="257">
        <f>I136+K136</f>
        <v>15789</v>
      </c>
      <c r="O136" s="12"/>
      <c r="P136" s="172">
        <f t="shared" si="9"/>
        <v>15789</v>
      </c>
      <c r="Q136" s="172">
        <f t="shared" si="10"/>
        <v>15789</v>
      </c>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c r="BZ136" s="12"/>
      <c r="CA136" s="12"/>
      <c r="CB136" s="12"/>
      <c r="CC136" s="12"/>
      <c r="CD136" s="12"/>
      <c r="CE136" s="12"/>
      <c r="CF136" s="12"/>
      <c r="CG136" s="12"/>
      <c r="CH136" s="12"/>
      <c r="CI136" s="12"/>
      <c r="CJ136" s="12"/>
      <c r="CK136" s="12"/>
      <c r="CL136" s="12"/>
      <c r="CM136" s="12"/>
      <c r="CN136" s="12"/>
      <c r="CO136" s="12"/>
      <c r="CP136" s="12"/>
      <c r="CQ136" s="12"/>
      <c r="CR136" s="12"/>
      <c r="CS136" s="12"/>
      <c r="CT136" s="12"/>
      <c r="CU136" s="12"/>
      <c r="CV136" s="12"/>
      <c r="CW136" s="12"/>
      <c r="CX136" s="12"/>
      <c r="CY136" s="12"/>
      <c r="CZ136" s="12"/>
      <c r="DA136" s="12"/>
      <c r="DB136" s="12"/>
      <c r="DC136" s="12"/>
      <c r="DD136" s="12"/>
      <c r="DE136" s="12"/>
      <c r="DF136" s="12"/>
      <c r="DG136" s="12"/>
      <c r="DH136" s="12"/>
      <c r="DI136" s="12"/>
      <c r="DJ136" s="12"/>
      <c r="DK136" s="12"/>
      <c r="DL136" s="12"/>
      <c r="DM136" s="12"/>
      <c r="DN136" s="12"/>
      <c r="DO136" s="12"/>
      <c r="DP136" s="12"/>
      <c r="DQ136" s="12"/>
      <c r="DR136" s="12"/>
      <c r="DS136" s="12"/>
      <c r="DT136" s="12"/>
      <c r="DU136" s="12"/>
      <c r="DV136" s="12"/>
      <c r="DW136" s="12"/>
      <c r="DX136" s="12"/>
      <c r="DY136" s="12"/>
      <c r="DZ136" s="12"/>
      <c r="EA136" s="12"/>
      <c r="EB136" s="12"/>
      <c r="EC136" s="12"/>
      <c r="ED136" s="12"/>
      <c r="EE136" s="12"/>
      <c r="EF136" s="12"/>
      <c r="EG136" s="12"/>
      <c r="EH136" s="12"/>
      <c r="EI136" s="12"/>
      <c r="EJ136" s="12"/>
      <c r="EK136" s="12"/>
      <c r="EL136" s="12"/>
      <c r="EM136" s="12"/>
      <c r="EN136" s="12"/>
      <c r="EO136" s="12"/>
      <c r="EP136" s="12"/>
      <c r="EQ136" s="12"/>
      <c r="ER136" s="12"/>
      <c r="ES136" s="12"/>
      <c r="ET136" s="12"/>
      <c r="EU136" s="12"/>
      <c r="EV136" s="12"/>
      <c r="EW136" s="12"/>
      <c r="EX136" s="12"/>
      <c r="EY136" s="12"/>
      <c r="EZ136" s="12"/>
      <c r="FA136" s="12"/>
      <c r="FB136" s="12"/>
      <c r="FC136" s="12"/>
      <c r="FD136" s="12"/>
      <c r="FE136" s="12"/>
      <c r="FF136" s="12"/>
      <c r="FG136" s="12"/>
      <c r="FH136" s="12"/>
      <c r="FI136" s="12"/>
      <c r="FJ136" s="12"/>
      <c r="FK136" s="12"/>
      <c r="FL136" s="12"/>
      <c r="FM136" s="12"/>
      <c r="FN136" s="12"/>
      <c r="FO136" s="12"/>
      <c r="FP136" s="12"/>
      <c r="FQ136" s="12"/>
      <c r="FR136" s="12"/>
      <c r="FS136" s="12"/>
      <c r="FT136" s="12"/>
      <c r="FU136" s="12"/>
      <c r="FV136" s="12"/>
      <c r="FW136" s="12"/>
      <c r="FX136" s="12"/>
      <c r="FY136" s="12"/>
      <c r="FZ136" s="12"/>
      <c r="GA136" s="12"/>
      <c r="GB136" s="12"/>
      <c r="GC136" s="12"/>
      <c r="GD136" s="12"/>
      <c r="GE136" s="12"/>
      <c r="GF136" s="12"/>
      <c r="GG136" s="12"/>
      <c r="GH136" s="12"/>
      <c r="GI136" s="12"/>
      <c r="GJ136" s="12"/>
      <c r="GK136" s="12"/>
      <c r="GL136" s="12"/>
      <c r="GM136" s="12"/>
      <c r="GN136" s="12"/>
      <c r="GO136" s="12"/>
      <c r="GP136" s="12"/>
      <c r="GQ136" s="12"/>
      <c r="GR136" s="12"/>
      <c r="GS136" s="12"/>
      <c r="GT136" s="12"/>
      <c r="GU136" s="12"/>
      <c r="GV136" s="12"/>
      <c r="GW136" s="12"/>
      <c r="GX136" s="12"/>
      <c r="GY136" s="12"/>
      <c r="GZ136" s="12"/>
      <c r="HA136" s="12"/>
      <c r="HB136" s="12"/>
      <c r="HC136" s="12"/>
      <c r="HD136" s="12"/>
      <c r="HE136" s="12"/>
      <c r="HF136" s="12"/>
      <c r="HG136" s="12"/>
      <c r="HH136" s="12"/>
      <c r="HI136" s="12"/>
      <c r="HJ136" s="12"/>
      <c r="HK136" s="12"/>
      <c r="HL136" s="12"/>
      <c r="HM136" s="12"/>
      <c r="HN136" s="12"/>
      <c r="HO136" s="12"/>
      <c r="HP136" s="12"/>
      <c r="HQ136" s="12"/>
      <c r="HR136" s="12"/>
      <c r="HS136" s="12"/>
      <c r="HT136" s="12"/>
      <c r="HU136" s="12"/>
      <c r="HV136" s="12"/>
      <c r="HW136" s="12"/>
    </row>
    <row r="137" spans="1:231" s="60" customFormat="1" ht="38.25">
      <c r="A137" s="168">
        <v>4</v>
      </c>
      <c r="B137" s="258" t="s">
        <v>43</v>
      </c>
      <c r="C137" s="259" t="s">
        <v>44</v>
      </c>
      <c r="D137" s="3">
        <v>2010</v>
      </c>
      <c r="E137" s="3">
        <v>2013</v>
      </c>
      <c r="F137" s="260" t="s">
        <v>45</v>
      </c>
      <c r="G137" s="251">
        <v>8753</v>
      </c>
      <c r="H137" s="251">
        <f>G137</f>
        <v>8753</v>
      </c>
      <c r="I137" s="261">
        <v>5840</v>
      </c>
      <c r="J137" s="253">
        <f>I137</f>
        <v>5840</v>
      </c>
      <c r="K137" s="253">
        <v>209</v>
      </c>
      <c r="L137" s="247" t="s">
        <v>860</v>
      </c>
      <c r="M137" s="248"/>
      <c r="N137" s="257">
        <f>I137+K137</f>
        <v>6049</v>
      </c>
      <c r="O137" s="12"/>
      <c r="P137" s="172">
        <f t="shared" si="9"/>
        <v>6049</v>
      </c>
      <c r="Q137" s="172">
        <f t="shared" si="10"/>
        <v>6049</v>
      </c>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c r="BZ137" s="12"/>
      <c r="CA137" s="12"/>
      <c r="CB137" s="12"/>
      <c r="CC137" s="12"/>
      <c r="CD137" s="12"/>
      <c r="CE137" s="12"/>
      <c r="CF137" s="12"/>
      <c r="CG137" s="12"/>
      <c r="CH137" s="12"/>
      <c r="CI137" s="12"/>
      <c r="CJ137" s="12"/>
      <c r="CK137" s="12"/>
      <c r="CL137" s="12"/>
      <c r="CM137" s="12"/>
      <c r="CN137" s="12"/>
      <c r="CO137" s="12"/>
      <c r="CP137" s="12"/>
      <c r="CQ137" s="12"/>
      <c r="CR137" s="12"/>
      <c r="CS137" s="12"/>
      <c r="CT137" s="12"/>
      <c r="CU137" s="12"/>
      <c r="CV137" s="12"/>
      <c r="CW137" s="12"/>
      <c r="CX137" s="12"/>
      <c r="CY137" s="12"/>
      <c r="CZ137" s="12"/>
      <c r="DA137" s="12"/>
      <c r="DB137" s="12"/>
      <c r="DC137" s="12"/>
      <c r="DD137" s="12"/>
      <c r="DE137" s="12"/>
      <c r="DF137" s="12"/>
      <c r="DG137" s="12"/>
      <c r="DH137" s="12"/>
      <c r="DI137" s="12"/>
      <c r="DJ137" s="12"/>
      <c r="DK137" s="12"/>
      <c r="DL137" s="12"/>
      <c r="DM137" s="12"/>
      <c r="DN137" s="12"/>
      <c r="DO137" s="12"/>
      <c r="DP137" s="12"/>
      <c r="DQ137" s="12"/>
      <c r="DR137" s="12"/>
      <c r="DS137" s="12"/>
      <c r="DT137" s="12"/>
      <c r="DU137" s="12"/>
      <c r="DV137" s="12"/>
      <c r="DW137" s="12"/>
      <c r="DX137" s="12"/>
      <c r="DY137" s="12"/>
      <c r="DZ137" s="12"/>
      <c r="EA137" s="12"/>
      <c r="EB137" s="12"/>
      <c r="EC137" s="12"/>
      <c r="ED137" s="12"/>
      <c r="EE137" s="12"/>
      <c r="EF137" s="12"/>
      <c r="EG137" s="12"/>
      <c r="EH137" s="12"/>
      <c r="EI137" s="12"/>
      <c r="EJ137" s="12"/>
      <c r="EK137" s="12"/>
      <c r="EL137" s="12"/>
      <c r="EM137" s="12"/>
      <c r="EN137" s="12"/>
      <c r="EO137" s="12"/>
      <c r="EP137" s="12"/>
      <c r="EQ137" s="12"/>
      <c r="ER137" s="12"/>
      <c r="ES137" s="12"/>
      <c r="ET137" s="12"/>
      <c r="EU137" s="12"/>
      <c r="EV137" s="12"/>
      <c r="EW137" s="12"/>
      <c r="EX137" s="12"/>
      <c r="EY137" s="12"/>
      <c r="EZ137" s="12"/>
      <c r="FA137" s="12"/>
      <c r="FB137" s="12"/>
      <c r="FC137" s="12"/>
      <c r="FD137" s="12"/>
      <c r="FE137" s="12"/>
      <c r="FF137" s="12"/>
      <c r="FG137" s="12"/>
      <c r="FH137" s="12"/>
      <c r="FI137" s="12"/>
      <c r="FJ137" s="12"/>
      <c r="FK137" s="12"/>
      <c r="FL137" s="12"/>
      <c r="FM137" s="12"/>
      <c r="FN137" s="12"/>
      <c r="FO137" s="12"/>
      <c r="FP137" s="12"/>
      <c r="FQ137" s="12"/>
      <c r="FR137" s="12"/>
      <c r="FS137" s="12"/>
      <c r="FT137" s="12"/>
      <c r="FU137" s="12"/>
      <c r="FV137" s="12"/>
      <c r="FW137" s="12"/>
      <c r="FX137" s="12"/>
      <c r="FY137" s="12"/>
      <c r="FZ137" s="12"/>
      <c r="GA137" s="12"/>
      <c r="GB137" s="12"/>
      <c r="GC137" s="12"/>
      <c r="GD137" s="12"/>
      <c r="GE137" s="12"/>
      <c r="GF137" s="12"/>
      <c r="GG137" s="12"/>
      <c r="GH137" s="12"/>
      <c r="GI137" s="12"/>
      <c r="GJ137" s="12"/>
      <c r="GK137" s="12"/>
      <c r="GL137" s="12"/>
      <c r="GM137" s="12"/>
      <c r="GN137" s="12"/>
      <c r="GO137" s="12"/>
      <c r="GP137" s="12"/>
      <c r="GQ137" s="12"/>
      <c r="GR137" s="12"/>
      <c r="GS137" s="12"/>
      <c r="GT137" s="12"/>
      <c r="GU137" s="12"/>
      <c r="GV137" s="12"/>
      <c r="GW137" s="12"/>
      <c r="GX137" s="12"/>
      <c r="GY137" s="12"/>
      <c r="GZ137" s="12"/>
      <c r="HA137" s="12"/>
      <c r="HB137" s="12"/>
      <c r="HC137" s="12"/>
      <c r="HD137" s="12"/>
      <c r="HE137" s="12"/>
      <c r="HF137" s="12"/>
      <c r="HG137" s="12"/>
      <c r="HH137" s="12"/>
      <c r="HI137" s="12"/>
      <c r="HJ137" s="12"/>
      <c r="HK137" s="12"/>
      <c r="HL137" s="12"/>
      <c r="HM137" s="12"/>
      <c r="HN137" s="12"/>
      <c r="HO137" s="12"/>
      <c r="HP137" s="12"/>
      <c r="HQ137" s="12"/>
      <c r="HR137" s="12"/>
      <c r="HS137" s="12"/>
      <c r="HT137" s="12"/>
      <c r="HU137" s="12"/>
      <c r="HV137" s="12"/>
      <c r="HW137" s="12"/>
    </row>
    <row r="138" spans="1:231" s="266" customFormat="1" ht="31.5">
      <c r="A138" s="10">
        <v>5</v>
      </c>
      <c r="B138" s="255" t="s">
        <v>67</v>
      </c>
      <c r="C138" s="262" t="s">
        <v>44</v>
      </c>
      <c r="D138" s="170">
        <v>2013</v>
      </c>
      <c r="E138" s="170">
        <v>2015</v>
      </c>
      <c r="F138" s="263" t="s">
        <v>68</v>
      </c>
      <c r="G138" s="264">
        <v>7578</v>
      </c>
      <c r="H138" s="265">
        <v>1647</v>
      </c>
      <c r="I138" s="253">
        <v>6173</v>
      </c>
      <c r="J138" s="253">
        <v>1000</v>
      </c>
      <c r="K138" s="253">
        <v>469</v>
      </c>
      <c r="L138" s="247" t="s">
        <v>933</v>
      </c>
      <c r="M138" s="248"/>
      <c r="N138" s="12"/>
      <c r="O138" s="12"/>
      <c r="P138" s="172">
        <f t="shared" si="9"/>
        <v>6642</v>
      </c>
      <c r="Q138" s="172">
        <f t="shared" si="10"/>
        <v>1469</v>
      </c>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c r="BZ138" s="12"/>
      <c r="CA138" s="12"/>
      <c r="CB138" s="12"/>
      <c r="CC138" s="12"/>
      <c r="CD138" s="12"/>
      <c r="CE138" s="12"/>
      <c r="CF138" s="12"/>
      <c r="CG138" s="12"/>
      <c r="CH138" s="12"/>
      <c r="CI138" s="12"/>
      <c r="CJ138" s="12"/>
      <c r="CK138" s="12"/>
      <c r="CL138" s="12"/>
      <c r="CM138" s="12"/>
      <c r="CN138" s="12"/>
      <c r="CO138" s="12"/>
      <c r="CP138" s="12"/>
      <c r="CQ138" s="12"/>
      <c r="CR138" s="12"/>
      <c r="CS138" s="12"/>
      <c r="CT138" s="12"/>
      <c r="CU138" s="12"/>
      <c r="CV138" s="12"/>
      <c r="CW138" s="12"/>
      <c r="CX138" s="12"/>
      <c r="CY138" s="12"/>
      <c r="CZ138" s="12"/>
      <c r="DA138" s="12"/>
      <c r="DB138" s="12"/>
      <c r="DC138" s="12"/>
      <c r="DD138" s="12"/>
      <c r="DE138" s="12"/>
      <c r="DF138" s="12"/>
      <c r="DG138" s="12"/>
      <c r="DH138" s="12"/>
      <c r="DI138" s="12"/>
      <c r="DJ138" s="12"/>
      <c r="DK138" s="12"/>
      <c r="DL138" s="12"/>
      <c r="DM138" s="12"/>
      <c r="DN138" s="12"/>
      <c r="DO138" s="12"/>
      <c r="DP138" s="12"/>
      <c r="DQ138" s="12"/>
      <c r="DR138" s="12"/>
      <c r="DS138" s="12"/>
      <c r="DT138" s="12"/>
      <c r="DU138" s="12"/>
      <c r="DV138" s="12"/>
      <c r="DW138" s="12"/>
      <c r="DX138" s="12"/>
      <c r="DY138" s="12"/>
      <c r="DZ138" s="12"/>
      <c r="EA138" s="12"/>
      <c r="EB138" s="12"/>
      <c r="EC138" s="12"/>
      <c r="ED138" s="12"/>
      <c r="EE138" s="12"/>
      <c r="EF138" s="12"/>
      <c r="EG138" s="12"/>
      <c r="EH138" s="12"/>
      <c r="EI138" s="12"/>
      <c r="EJ138" s="12"/>
      <c r="EK138" s="12"/>
      <c r="EL138" s="12"/>
      <c r="EM138" s="12"/>
      <c r="EN138" s="12"/>
      <c r="EO138" s="12"/>
      <c r="EP138" s="12"/>
      <c r="EQ138" s="12"/>
      <c r="ER138" s="12"/>
      <c r="ES138" s="12"/>
      <c r="ET138" s="12"/>
      <c r="EU138" s="12"/>
      <c r="EV138" s="12"/>
      <c r="EW138" s="12"/>
      <c r="EX138" s="12"/>
      <c r="EY138" s="12"/>
      <c r="EZ138" s="12"/>
      <c r="FA138" s="12"/>
      <c r="FB138" s="12"/>
      <c r="FC138" s="12"/>
      <c r="FD138" s="12"/>
      <c r="FE138" s="12"/>
      <c r="FF138" s="12"/>
      <c r="FG138" s="12"/>
      <c r="FH138" s="12"/>
      <c r="FI138" s="12"/>
      <c r="FJ138" s="12"/>
      <c r="FK138" s="12"/>
      <c r="FL138" s="12"/>
      <c r="FM138" s="12"/>
      <c r="FN138" s="12"/>
      <c r="FO138" s="12"/>
      <c r="FP138" s="12"/>
      <c r="FQ138" s="12"/>
      <c r="FR138" s="12"/>
      <c r="FS138" s="12"/>
      <c r="FT138" s="12"/>
      <c r="FU138" s="12"/>
      <c r="FV138" s="12"/>
      <c r="FW138" s="12"/>
      <c r="FX138" s="12"/>
      <c r="FY138" s="12"/>
      <c r="FZ138" s="12"/>
      <c r="GA138" s="12"/>
      <c r="GB138" s="12"/>
      <c r="GC138" s="12"/>
      <c r="GD138" s="12"/>
      <c r="GE138" s="12"/>
      <c r="GF138" s="12"/>
      <c r="GG138" s="12"/>
      <c r="GH138" s="12"/>
      <c r="GI138" s="12"/>
      <c r="GJ138" s="12"/>
      <c r="GK138" s="12"/>
      <c r="GL138" s="12"/>
      <c r="GM138" s="12"/>
      <c r="GN138" s="12"/>
      <c r="GO138" s="12"/>
      <c r="GP138" s="12"/>
      <c r="GQ138" s="12"/>
      <c r="GR138" s="12"/>
      <c r="GS138" s="12"/>
      <c r="GT138" s="12"/>
      <c r="GU138" s="12"/>
      <c r="GV138" s="12"/>
      <c r="GW138" s="12"/>
      <c r="GX138" s="12"/>
      <c r="GY138" s="12"/>
      <c r="GZ138" s="12"/>
      <c r="HA138" s="12"/>
      <c r="HB138" s="12"/>
      <c r="HC138" s="12"/>
      <c r="HD138" s="12"/>
      <c r="HE138" s="12"/>
      <c r="HF138" s="12"/>
      <c r="HG138" s="12"/>
      <c r="HH138" s="12"/>
      <c r="HI138" s="12"/>
      <c r="HJ138" s="12"/>
      <c r="HK138" s="12"/>
      <c r="HL138" s="12"/>
      <c r="HM138" s="12"/>
      <c r="HN138" s="12"/>
      <c r="HO138" s="12"/>
      <c r="HP138" s="12"/>
      <c r="HQ138" s="12"/>
      <c r="HR138" s="12"/>
      <c r="HS138" s="12"/>
      <c r="HT138" s="12"/>
      <c r="HU138" s="12"/>
      <c r="HV138" s="12"/>
      <c r="HW138" s="12"/>
    </row>
    <row r="139" spans="1:231" s="60" customFormat="1" ht="56.25" customHeight="1">
      <c r="A139" s="168">
        <v>6</v>
      </c>
      <c r="B139" s="169" t="s">
        <v>63</v>
      </c>
      <c r="C139" s="4" t="s">
        <v>33</v>
      </c>
      <c r="D139" s="170">
        <v>2011</v>
      </c>
      <c r="E139" s="170">
        <v>2012</v>
      </c>
      <c r="F139" s="267" t="s">
        <v>64</v>
      </c>
      <c r="G139" s="250">
        <v>27139</v>
      </c>
      <c r="H139" s="265">
        <v>1802</v>
      </c>
      <c r="I139" s="253">
        <v>24500</v>
      </c>
      <c r="J139" s="253">
        <v>1000</v>
      </c>
      <c r="K139" s="253">
        <v>802</v>
      </c>
      <c r="L139" s="247" t="s">
        <v>934</v>
      </c>
      <c r="M139" s="248"/>
      <c r="N139" s="12"/>
      <c r="O139" s="12"/>
      <c r="P139" s="172">
        <f t="shared" si="9"/>
        <v>25302</v>
      </c>
      <c r="Q139" s="172">
        <f t="shared" si="10"/>
        <v>1802</v>
      </c>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c r="BK139" s="12"/>
      <c r="BL139" s="12"/>
      <c r="BM139" s="12"/>
      <c r="BN139" s="12"/>
      <c r="BO139" s="12"/>
      <c r="BP139" s="12"/>
      <c r="BQ139" s="12"/>
      <c r="BR139" s="12"/>
      <c r="BS139" s="12"/>
      <c r="BT139" s="12"/>
      <c r="BU139" s="12"/>
      <c r="BV139" s="12"/>
      <c r="BW139" s="12"/>
      <c r="BX139" s="12"/>
      <c r="BY139" s="12"/>
      <c r="BZ139" s="12"/>
      <c r="CA139" s="12"/>
      <c r="CB139" s="12"/>
      <c r="CC139" s="12"/>
      <c r="CD139" s="12"/>
      <c r="CE139" s="12"/>
      <c r="CF139" s="12"/>
      <c r="CG139" s="12"/>
      <c r="CH139" s="12"/>
      <c r="CI139" s="12"/>
      <c r="CJ139" s="12"/>
      <c r="CK139" s="12"/>
      <c r="CL139" s="12"/>
      <c r="CM139" s="12"/>
      <c r="CN139" s="12"/>
      <c r="CO139" s="12"/>
      <c r="CP139" s="12"/>
      <c r="CQ139" s="12"/>
      <c r="CR139" s="12"/>
      <c r="CS139" s="12"/>
      <c r="CT139" s="12"/>
      <c r="CU139" s="12"/>
      <c r="CV139" s="12"/>
      <c r="CW139" s="12"/>
      <c r="CX139" s="12"/>
      <c r="CY139" s="12"/>
      <c r="CZ139" s="12"/>
      <c r="DA139" s="12"/>
      <c r="DB139" s="12"/>
      <c r="DC139" s="12"/>
      <c r="DD139" s="12"/>
      <c r="DE139" s="12"/>
      <c r="DF139" s="12"/>
      <c r="DG139" s="12"/>
      <c r="DH139" s="12"/>
      <c r="DI139" s="12"/>
      <c r="DJ139" s="12"/>
      <c r="DK139" s="12"/>
      <c r="DL139" s="12"/>
      <c r="DM139" s="12"/>
      <c r="DN139" s="12"/>
      <c r="DO139" s="12"/>
      <c r="DP139" s="12"/>
      <c r="DQ139" s="12"/>
      <c r="DR139" s="12"/>
      <c r="DS139" s="12"/>
      <c r="DT139" s="12"/>
      <c r="DU139" s="12"/>
      <c r="DV139" s="12"/>
      <c r="DW139" s="12"/>
      <c r="DX139" s="12"/>
      <c r="DY139" s="12"/>
      <c r="DZ139" s="12"/>
      <c r="EA139" s="12"/>
      <c r="EB139" s="12"/>
      <c r="EC139" s="12"/>
      <c r="ED139" s="12"/>
      <c r="EE139" s="12"/>
      <c r="EF139" s="12"/>
      <c r="EG139" s="12"/>
      <c r="EH139" s="12"/>
      <c r="EI139" s="12"/>
      <c r="EJ139" s="12"/>
      <c r="EK139" s="12"/>
      <c r="EL139" s="12"/>
      <c r="EM139" s="12"/>
      <c r="EN139" s="12"/>
      <c r="EO139" s="12"/>
      <c r="EP139" s="12"/>
      <c r="EQ139" s="12"/>
      <c r="ER139" s="12"/>
      <c r="ES139" s="12"/>
      <c r="ET139" s="12"/>
      <c r="EU139" s="12"/>
      <c r="EV139" s="12"/>
      <c r="EW139" s="12"/>
      <c r="EX139" s="12"/>
      <c r="EY139" s="12"/>
      <c r="EZ139" s="12"/>
      <c r="FA139" s="12"/>
      <c r="FB139" s="12"/>
      <c r="FC139" s="12"/>
      <c r="FD139" s="12"/>
      <c r="FE139" s="12"/>
      <c r="FF139" s="12"/>
      <c r="FG139" s="12"/>
      <c r="FH139" s="12"/>
      <c r="FI139" s="12"/>
      <c r="FJ139" s="12"/>
      <c r="FK139" s="12"/>
      <c r="FL139" s="12"/>
      <c r="FM139" s="12"/>
      <c r="FN139" s="12"/>
      <c r="FO139" s="12"/>
      <c r="FP139" s="12"/>
      <c r="FQ139" s="12"/>
      <c r="FR139" s="12"/>
      <c r="FS139" s="12"/>
      <c r="FT139" s="12"/>
      <c r="FU139" s="12"/>
      <c r="FV139" s="12"/>
      <c r="FW139" s="12"/>
      <c r="FX139" s="12"/>
      <c r="FY139" s="12"/>
      <c r="FZ139" s="12"/>
      <c r="GA139" s="12"/>
      <c r="GB139" s="12"/>
      <c r="GC139" s="12"/>
      <c r="GD139" s="12"/>
      <c r="GE139" s="12"/>
      <c r="GF139" s="12"/>
      <c r="GG139" s="12"/>
      <c r="GH139" s="12"/>
      <c r="GI139" s="12"/>
      <c r="GJ139" s="12"/>
      <c r="GK139" s="12"/>
      <c r="GL139" s="12"/>
      <c r="GM139" s="12"/>
      <c r="GN139" s="12"/>
      <c r="GO139" s="12"/>
      <c r="GP139" s="12"/>
      <c r="GQ139" s="12"/>
      <c r="GR139" s="12"/>
      <c r="GS139" s="12"/>
      <c r="GT139" s="12"/>
      <c r="GU139" s="12"/>
      <c r="GV139" s="12"/>
      <c r="GW139" s="12"/>
      <c r="GX139" s="12"/>
      <c r="GY139" s="12"/>
      <c r="GZ139" s="12"/>
      <c r="HA139" s="12"/>
      <c r="HB139" s="12"/>
      <c r="HC139" s="12"/>
      <c r="HD139" s="12"/>
      <c r="HE139" s="12"/>
      <c r="HF139" s="12"/>
      <c r="HG139" s="12"/>
      <c r="HH139" s="12"/>
      <c r="HI139" s="12"/>
      <c r="HJ139" s="12"/>
      <c r="HK139" s="12"/>
      <c r="HL139" s="12"/>
      <c r="HM139" s="12"/>
      <c r="HN139" s="12"/>
      <c r="HO139" s="12"/>
      <c r="HP139" s="12"/>
      <c r="HQ139" s="12"/>
      <c r="HR139" s="12"/>
      <c r="HS139" s="12"/>
      <c r="HT139" s="12"/>
      <c r="HU139" s="12"/>
      <c r="HV139" s="12"/>
      <c r="HW139" s="12"/>
    </row>
    <row r="140" spans="1:231" s="12" customFormat="1" ht="42.75" customHeight="1">
      <c r="A140" s="10">
        <v>7</v>
      </c>
      <c r="B140" s="169" t="s">
        <v>474</v>
      </c>
      <c r="C140" s="229" t="s">
        <v>46</v>
      </c>
      <c r="D140" s="3">
        <v>2011</v>
      </c>
      <c r="E140" s="3">
        <v>2012</v>
      </c>
      <c r="F140" s="267" t="s">
        <v>935</v>
      </c>
      <c r="G140" s="268">
        <v>18047</v>
      </c>
      <c r="H140" s="220">
        <v>3980</v>
      </c>
      <c r="I140" s="269">
        <v>17000</v>
      </c>
      <c r="J140" s="264">
        <v>3000</v>
      </c>
      <c r="K140" s="246">
        <v>980</v>
      </c>
      <c r="L140" s="247" t="s">
        <v>845</v>
      </c>
      <c r="M140" s="248"/>
      <c r="N140" s="257">
        <f>I140+K140</f>
        <v>17980</v>
      </c>
      <c r="P140" s="172">
        <f t="shared" si="9"/>
        <v>17980</v>
      </c>
      <c r="Q140" s="172">
        <f t="shared" si="10"/>
        <v>3980</v>
      </c>
    </row>
    <row r="141" spans="1:231" s="271" customFormat="1" ht="31.5">
      <c r="A141" s="168">
        <v>8</v>
      </c>
      <c r="B141" s="255" t="s">
        <v>61</v>
      </c>
      <c r="C141" s="270" t="s">
        <v>17</v>
      </c>
      <c r="D141" s="170">
        <v>2015</v>
      </c>
      <c r="E141" s="170">
        <v>2017</v>
      </c>
      <c r="F141" s="263" t="s">
        <v>936</v>
      </c>
      <c r="G141" s="264">
        <v>10124</v>
      </c>
      <c r="H141" s="251">
        <v>2171</v>
      </c>
      <c r="I141" s="253">
        <v>8843</v>
      </c>
      <c r="J141" s="253">
        <v>1000</v>
      </c>
      <c r="K141" s="253">
        <v>1170</v>
      </c>
      <c r="L141" s="247" t="s">
        <v>871</v>
      </c>
      <c r="M141" s="248"/>
      <c r="N141" s="12"/>
      <c r="O141" s="12"/>
      <c r="P141" s="172">
        <f t="shared" si="9"/>
        <v>10013</v>
      </c>
      <c r="Q141" s="172">
        <f t="shared" si="10"/>
        <v>2170</v>
      </c>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2"/>
      <c r="CA141" s="12"/>
      <c r="CB141" s="12"/>
      <c r="CC141" s="12"/>
      <c r="CD141" s="12"/>
      <c r="CE141" s="12"/>
      <c r="CF141" s="12"/>
      <c r="CG141" s="12"/>
      <c r="CH141" s="12"/>
      <c r="CI141" s="12"/>
      <c r="CJ141" s="12"/>
      <c r="CK141" s="12"/>
      <c r="CL141" s="12"/>
      <c r="CM141" s="12"/>
      <c r="CN141" s="12"/>
      <c r="CO141" s="12"/>
      <c r="CP141" s="12"/>
      <c r="CQ141" s="12"/>
      <c r="CR141" s="12"/>
      <c r="CS141" s="12"/>
      <c r="CT141" s="12"/>
      <c r="CU141" s="12"/>
      <c r="CV141" s="12"/>
      <c r="CW141" s="12"/>
      <c r="CX141" s="12"/>
      <c r="CY141" s="12"/>
      <c r="CZ141" s="12"/>
      <c r="DA141" s="12"/>
      <c r="DB141" s="12"/>
      <c r="DC141" s="12"/>
      <c r="DD141" s="12"/>
      <c r="DE141" s="12"/>
      <c r="DF141" s="12"/>
      <c r="DG141" s="12"/>
      <c r="DH141" s="12"/>
      <c r="DI141" s="12"/>
      <c r="DJ141" s="12"/>
      <c r="DK141" s="12"/>
      <c r="DL141" s="12"/>
      <c r="DM141" s="12"/>
      <c r="DN141" s="12"/>
      <c r="DO141" s="12"/>
      <c r="DP141" s="12"/>
      <c r="DQ141" s="12"/>
      <c r="DR141" s="12"/>
      <c r="DS141" s="12"/>
      <c r="DT141" s="12"/>
      <c r="DU141" s="12"/>
      <c r="DV141" s="12"/>
      <c r="DW141" s="12"/>
      <c r="DX141" s="12"/>
      <c r="DY141" s="12"/>
      <c r="DZ141" s="12"/>
      <c r="EA141" s="12"/>
      <c r="EB141" s="12"/>
      <c r="EC141" s="12"/>
      <c r="ED141" s="12"/>
      <c r="EE141" s="12"/>
      <c r="EF141" s="12"/>
      <c r="EG141" s="12"/>
      <c r="EH141" s="12"/>
      <c r="EI141" s="12"/>
      <c r="EJ141" s="12"/>
      <c r="EK141" s="12"/>
      <c r="EL141" s="12"/>
      <c r="EM141" s="12"/>
      <c r="EN141" s="12"/>
      <c r="EO141" s="12"/>
      <c r="EP141" s="12"/>
      <c r="EQ141" s="12"/>
      <c r="ER141" s="12"/>
      <c r="ES141" s="12"/>
      <c r="ET141" s="12"/>
      <c r="EU141" s="12"/>
      <c r="EV141" s="12"/>
      <c r="EW141" s="12"/>
      <c r="EX141" s="12"/>
      <c r="EY141" s="12"/>
      <c r="EZ141" s="12"/>
      <c r="FA141" s="12"/>
      <c r="FB141" s="12"/>
      <c r="FC141" s="12"/>
      <c r="FD141" s="12"/>
      <c r="FE141" s="12"/>
      <c r="FF141" s="12"/>
      <c r="FG141" s="12"/>
      <c r="FH141" s="12"/>
      <c r="FI141" s="12"/>
      <c r="FJ141" s="12"/>
      <c r="FK141" s="12"/>
      <c r="FL141" s="12"/>
      <c r="FM141" s="12"/>
      <c r="FN141" s="12"/>
      <c r="FO141" s="12"/>
      <c r="FP141" s="12"/>
      <c r="FQ141" s="12"/>
      <c r="FR141" s="12"/>
      <c r="FS141" s="12"/>
      <c r="FT141" s="12"/>
      <c r="FU141" s="12"/>
      <c r="FV141" s="12"/>
      <c r="FW141" s="12"/>
      <c r="FX141" s="12"/>
      <c r="FY141" s="12"/>
      <c r="FZ141" s="12"/>
      <c r="GA141" s="12"/>
      <c r="GB141" s="12"/>
      <c r="GC141" s="12"/>
      <c r="GD141" s="12"/>
      <c r="GE141" s="12"/>
      <c r="GF141" s="12"/>
      <c r="GG141" s="12"/>
      <c r="GH141" s="12"/>
      <c r="GI141" s="12"/>
      <c r="GJ141" s="12"/>
      <c r="GK141" s="12"/>
      <c r="GL141" s="12"/>
      <c r="GM141" s="12"/>
      <c r="GN141" s="12"/>
      <c r="GO141" s="12"/>
      <c r="GP141" s="12"/>
      <c r="GQ141" s="12"/>
      <c r="GR141" s="12"/>
      <c r="GS141" s="12"/>
      <c r="GT141" s="12"/>
      <c r="GU141" s="12"/>
      <c r="GV141" s="12"/>
      <c r="GW141" s="12"/>
      <c r="GX141" s="12"/>
      <c r="GY141" s="12"/>
      <c r="GZ141" s="12"/>
      <c r="HA141" s="12"/>
      <c r="HB141" s="12"/>
      <c r="HC141" s="12"/>
      <c r="HD141" s="12"/>
      <c r="HE141" s="12"/>
      <c r="HF141" s="12"/>
      <c r="HG141" s="12"/>
      <c r="HH141" s="12"/>
      <c r="HI141" s="12"/>
      <c r="HJ141" s="12"/>
      <c r="HK141" s="12"/>
      <c r="HL141" s="12"/>
      <c r="HM141" s="12"/>
      <c r="HN141" s="12"/>
      <c r="HO141" s="12"/>
      <c r="HP141" s="12"/>
      <c r="HQ141" s="12"/>
      <c r="HR141" s="12"/>
      <c r="HS141" s="12"/>
      <c r="HT141" s="12"/>
      <c r="HU141" s="12"/>
      <c r="HV141" s="12"/>
      <c r="HW141" s="12"/>
    </row>
    <row r="142" spans="1:231" s="8" customFormat="1" ht="41.25" customHeight="1">
      <c r="A142" s="10">
        <v>9</v>
      </c>
      <c r="B142" s="62" t="s">
        <v>59</v>
      </c>
      <c r="C142" s="2" t="s">
        <v>9</v>
      </c>
      <c r="D142" s="3">
        <v>2013</v>
      </c>
      <c r="E142" s="3">
        <v>2014</v>
      </c>
      <c r="F142" s="185" t="s">
        <v>60</v>
      </c>
      <c r="G142" s="245">
        <v>35209</v>
      </c>
      <c r="H142" s="220">
        <v>21720</v>
      </c>
      <c r="I142" s="245">
        <v>21150</v>
      </c>
      <c r="J142" s="245">
        <v>21150</v>
      </c>
      <c r="K142" s="246">
        <v>570</v>
      </c>
      <c r="L142" s="247" t="s">
        <v>587</v>
      </c>
      <c r="M142" s="248"/>
      <c r="P142" s="172">
        <f t="shared" ref="P142:P205" si="13">I142+K142</f>
        <v>21720</v>
      </c>
      <c r="Q142" s="172">
        <f t="shared" ref="Q142:Q205" si="14">J142+K142</f>
        <v>21720</v>
      </c>
    </row>
    <row r="143" spans="1:231" s="12" customFormat="1" ht="31.5">
      <c r="A143" s="168">
        <v>10</v>
      </c>
      <c r="B143" s="272" t="s">
        <v>55</v>
      </c>
      <c r="C143" s="4" t="s">
        <v>355</v>
      </c>
      <c r="D143" s="273" t="s">
        <v>342</v>
      </c>
      <c r="E143" s="249" t="s">
        <v>342</v>
      </c>
      <c r="F143" s="263"/>
      <c r="G143" s="264"/>
      <c r="H143" s="251"/>
      <c r="I143" s="253">
        <v>1000</v>
      </c>
      <c r="J143" s="253">
        <v>1000</v>
      </c>
      <c r="K143" s="253">
        <v>2300</v>
      </c>
      <c r="L143" s="247" t="s">
        <v>653</v>
      </c>
      <c r="M143" s="248"/>
      <c r="P143" s="172">
        <f t="shared" si="13"/>
        <v>3300</v>
      </c>
      <c r="Q143" s="172">
        <f t="shared" si="14"/>
        <v>3300</v>
      </c>
    </row>
    <row r="144" spans="1:231" s="8" customFormat="1" ht="31.5">
      <c r="A144" s="141" t="s">
        <v>569</v>
      </c>
      <c r="B144" s="142" t="s">
        <v>937</v>
      </c>
      <c r="C144" s="2"/>
      <c r="D144" s="2"/>
      <c r="E144" s="2"/>
      <c r="F144" s="159"/>
      <c r="G144" s="166">
        <f>SUBTOTAL(9,G145:G146)</f>
        <v>41430</v>
      </c>
      <c r="H144" s="166">
        <f>SUBTOTAL(9,H145:H146)</f>
        <v>26430</v>
      </c>
      <c r="I144" s="166">
        <f>SUBTOTAL(9,I145:I146)</f>
        <v>19439</v>
      </c>
      <c r="J144" s="166">
        <f>SUBTOTAL(9,J145:J146)</f>
        <v>5839</v>
      </c>
      <c r="K144" s="166">
        <f>SUBTOTAL(9,K145:K146)</f>
        <v>10948</v>
      </c>
      <c r="L144" s="9"/>
      <c r="M144" s="113"/>
      <c r="P144" s="172">
        <f t="shared" si="13"/>
        <v>30387</v>
      </c>
      <c r="Q144" s="172">
        <f t="shared" si="14"/>
        <v>16787</v>
      </c>
    </row>
    <row r="145" spans="1:231" s="12" customFormat="1" ht="63">
      <c r="A145" s="168">
        <v>1</v>
      </c>
      <c r="B145" s="274" t="s">
        <v>96</v>
      </c>
      <c r="C145" s="275" t="s">
        <v>26</v>
      </c>
      <c r="D145" s="170">
        <v>2015</v>
      </c>
      <c r="E145" s="170">
        <v>2017</v>
      </c>
      <c r="F145" s="276" t="s">
        <v>97</v>
      </c>
      <c r="G145" s="197">
        <v>23728</v>
      </c>
      <c r="H145" s="277">
        <f>G145-15000</f>
        <v>8728</v>
      </c>
      <c r="I145" s="278">
        <f>8200+3145+2823+1314+2255</f>
        <v>17737</v>
      </c>
      <c r="J145" s="279">
        <f>2823+1314</f>
        <v>4137</v>
      </c>
      <c r="K145" s="280">
        <v>3718</v>
      </c>
      <c r="L145" s="281" t="s">
        <v>938</v>
      </c>
      <c r="M145" s="282"/>
      <c r="N145" s="254"/>
      <c r="O145" s="254"/>
      <c r="P145" s="172">
        <f t="shared" si="13"/>
        <v>21455</v>
      </c>
      <c r="Q145" s="172">
        <f t="shared" si="14"/>
        <v>7855</v>
      </c>
      <c r="R145" s="254"/>
      <c r="S145" s="254"/>
      <c r="T145" s="254"/>
      <c r="U145" s="254"/>
      <c r="V145" s="254"/>
      <c r="W145" s="254"/>
      <c r="X145" s="254"/>
      <c r="Y145" s="254"/>
      <c r="Z145" s="254"/>
      <c r="AA145" s="254"/>
      <c r="AB145" s="254"/>
      <c r="AC145" s="254"/>
      <c r="AD145" s="254"/>
      <c r="AE145" s="254"/>
      <c r="AF145" s="254"/>
      <c r="AG145" s="254"/>
      <c r="AH145" s="254"/>
      <c r="AI145" s="254"/>
      <c r="AJ145" s="254"/>
      <c r="AK145" s="254"/>
      <c r="AL145" s="254"/>
      <c r="AM145" s="254"/>
      <c r="AN145" s="254"/>
      <c r="AO145" s="254"/>
      <c r="AP145" s="254"/>
      <c r="AQ145" s="254"/>
      <c r="AR145" s="254"/>
      <c r="AS145" s="254"/>
      <c r="AT145" s="254"/>
      <c r="AU145" s="254"/>
      <c r="AV145" s="254"/>
      <c r="AW145" s="254"/>
      <c r="AX145" s="254"/>
      <c r="AY145" s="254"/>
      <c r="AZ145" s="254"/>
      <c r="BA145" s="254"/>
      <c r="BB145" s="254"/>
      <c r="BC145" s="254"/>
      <c r="BD145" s="254"/>
      <c r="BE145" s="254"/>
      <c r="BF145" s="254"/>
      <c r="BG145" s="254"/>
      <c r="BH145" s="254"/>
      <c r="BI145" s="254"/>
      <c r="BJ145" s="254"/>
      <c r="BK145" s="254"/>
      <c r="BL145" s="254"/>
      <c r="BM145" s="254"/>
      <c r="BN145" s="254"/>
      <c r="BO145" s="254"/>
      <c r="BP145" s="254"/>
      <c r="BQ145" s="254"/>
      <c r="BR145" s="254"/>
      <c r="BS145" s="254"/>
      <c r="BT145" s="254"/>
      <c r="BU145" s="254"/>
      <c r="BV145" s="254"/>
      <c r="BW145" s="254"/>
      <c r="BX145" s="254"/>
      <c r="BY145" s="254"/>
      <c r="BZ145" s="254"/>
      <c r="CA145" s="254"/>
      <c r="CB145" s="254"/>
      <c r="CC145" s="254"/>
      <c r="CD145" s="254"/>
      <c r="CE145" s="254"/>
      <c r="CF145" s="254"/>
      <c r="CG145" s="254"/>
      <c r="CH145" s="254"/>
      <c r="CI145" s="254"/>
      <c r="CJ145" s="254"/>
      <c r="CK145" s="254"/>
      <c r="CL145" s="254"/>
      <c r="CM145" s="254"/>
      <c r="CN145" s="254"/>
      <c r="CO145" s="254"/>
      <c r="CP145" s="254"/>
      <c r="CQ145" s="254"/>
      <c r="CR145" s="254"/>
      <c r="CS145" s="254"/>
      <c r="CT145" s="254"/>
      <c r="CU145" s="254"/>
      <c r="CV145" s="254"/>
      <c r="CW145" s="254"/>
      <c r="CX145" s="254"/>
      <c r="CY145" s="254"/>
      <c r="CZ145" s="254"/>
      <c r="DA145" s="254"/>
      <c r="DB145" s="254"/>
      <c r="DC145" s="254"/>
      <c r="DD145" s="254"/>
      <c r="DE145" s="254"/>
      <c r="DF145" s="254"/>
      <c r="DG145" s="254"/>
      <c r="DH145" s="254"/>
      <c r="DI145" s="254"/>
      <c r="DJ145" s="254"/>
      <c r="DK145" s="254"/>
      <c r="DL145" s="254"/>
      <c r="DM145" s="254"/>
      <c r="DN145" s="254"/>
      <c r="DO145" s="254"/>
      <c r="DP145" s="254"/>
      <c r="DQ145" s="254"/>
      <c r="DR145" s="254"/>
      <c r="DS145" s="254"/>
      <c r="DT145" s="254"/>
      <c r="DU145" s="254"/>
      <c r="DV145" s="254"/>
      <c r="DW145" s="254"/>
      <c r="DX145" s="254"/>
      <c r="DY145" s="254"/>
      <c r="DZ145" s="254"/>
      <c r="EA145" s="254"/>
      <c r="EB145" s="254"/>
      <c r="EC145" s="254"/>
      <c r="ED145" s="254"/>
      <c r="EE145" s="254"/>
      <c r="EF145" s="254"/>
      <c r="EG145" s="254"/>
      <c r="EH145" s="254"/>
      <c r="EI145" s="254"/>
      <c r="EJ145" s="254"/>
      <c r="EK145" s="254"/>
      <c r="EL145" s="254"/>
      <c r="EM145" s="254"/>
      <c r="EN145" s="254"/>
      <c r="EO145" s="254"/>
      <c r="EP145" s="254"/>
      <c r="EQ145" s="254"/>
      <c r="ER145" s="254"/>
      <c r="ES145" s="254"/>
      <c r="ET145" s="254"/>
      <c r="EU145" s="254"/>
      <c r="EV145" s="254"/>
      <c r="EW145" s="254"/>
      <c r="EX145" s="254"/>
      <c r="EY145" s="254"/>
      <c r="EZ145" s="254"/>
      <c r="FA145" s="254"/>
      <c r="FB145" s="254"/>
      <c r="FC145" s="254"/>
      <c r="FD145" s="254"/>
      <c r="FE145" s="254"/>
      <c r="FF145" s="254"/>
      <c r="FG145" s="254"/>
      <c r="FH145" s="254"/>
      <c r="FI145" s="254"/>
      <c r="FJ145" s="254"/>
      <c r="FK145" s="254"/>
      <c r="FL145" s="254"/>
      <c r="FM145" s="254"/>
      <c r="FN145" s="254"/>
      <c r="FO145" s="254"/>
      <c r="FP145" s="254"/>
      <c r="FQ145" s="254"/>
      <c r="FR145" s="254"/>
      <c r="FS145" s="254"/>
      <c r="FT145" s="254"/>
      <c r="FU145" s="254"/>
      <c r="FV145" s="254"/>
      <c r="FW145" s="254"/>
      <c r="FX145" s="254"/>
      <c r="FY145" s="254"/>
      <c r="FZ145" s="254"/>
      <c r="GA145" s="254"/>
      <c r="GB145" s="254"/>
      <c r="GC145" s="254"/>
      <c r="GD145" s="254"/>
      <c r="GE145" s="254"/>
      <c r="GF145" s="254"/>
      <c r="GG145" s="254"/>
      <c r="GH145" s="254"/>
      <c r="GI145" s="254"/>
      <c r="GJ145" s="254"/>
      <c r="GK145" s="254"/>
      <c r="GL145" s="254"/>
      <c r="GM145" s="254"/>
      <c r="GN145" s="254"/>
      <c r="GO145" s="254"/>
      <c r="GP145" s="254"/>
      <c r="GQ145" s="254"/>
      <c r="GR145" s="254"/>
      <c r="GS145" s="254"/>
      <c r="GT145" s="254"/>
      <c r="GU145" s="254"/>
      <c r="GV145" s="254"/>
      <c r="GW145" s="254"/>
      <c r="GX145" s="254"/>
      <c r="GY145" s="254"/>
      <c r="GZ145" s="254"/>
      <c r="HA145" s="254"/>
      <c r="HB145" s="254"/>
      <c r="HC145" s="254"/>
      <c r="HD145" s="254"/>
      <c r="HE145" s="254"/>
      <c r="HF145" s="254"/>
      <c r="HG145" s="254"/>
      <c r="HH145" s="254"/>
      <c r="HI145" s="254"/>
      <c r="HJ145" s="254"/>
      <c r="HK145" s="254"/>
      <c r="HL145" s="254"/>
      <c r="HM145" s="254"/>
      <c r="HN145" s="254"/>
      <c r="HO145" s="254"/>
      <c r="HP145" s="254"/>
      <c r="HQ145" s="254"/>
      <c r="HR145" s="254"/>
      <c r="HS145" s="254"/>
      <c r="HT145" s="254"/>
      <c r="HU145" s="254"/>
      <c r="HV145" s="254"/>
      <c r="HW145" s="254"/>
    </row>
    <row r="146" spans="1:231" s="289" customFormat="1" ht="31.5">
      <c r="A146" s="168">
        <v>2</v>
      </c>
      <c r="B146" s="283" t="s">
        <v>646</v>
      </c>
      <c r="C146" s="4" t="s">
        <v>355</v>
      </c>
      <c r="D146" s="273" t="s">
        <v>342</v>
      </c>
      <c r="E146" s="249" t="s">
        <v>342</v>
      </c>
      <c r="F146" s="284"/>
      <c r="G146" s="285">
        <v>17702</v>
      </c>
      <c r="H146" s="286">
        <v>17702</v>
      </c>
      <c r="I146" s="287">
        <v>1702</v>
      </c>
      <c r="J146" s="287">
        <v>1702</v>
      </c>
      <c r="K146" s="288">
        <v>7230</v>
      </c>
      <c r="L146" s="36" t="s">
        <v>653</v>
      </c>
      <c r="M146" s="221"/>
      <c r="N146" s="271"/>
      <c r="O146" s="271"/>
      <c r="P146" s="172">
        <f t="shared" si="13"/>
        <v>8932</v>
      </c>
      <c r="Q146" s="172">
        <f t="shared" si="14"/>
        <v>8932</v>
      </c>
      <c r="R146" s="271"/>
      <c r="S146" s="271"/>
      <c r="T146" s="271"/>
      <c r="U146" s="271"/>
      <c r="V146" s="271"/>
      <c r="W146" s="271"/>
      <c r="X146" s="271"/>
      <c r="Y146" s="271"/>
      <c r="Z146" s="271"/>
      <c r="AA146" s="271"/>
      <c r="AB146" s="271"/>
      <c r="AC146" s="271"/>
      <c r="AD146" s="271"/>
      <c r="AE146" s="271"/>
      <c r="AF146" s="271"/>
      <c r="AG146" s="271"/>
      <c r="AH146" s="271"/>
      <c r="AI146" s="271"/>
      <c r="AJ146" s="271"/>
      <c r="AK146" s="271"/>
      <c r="AL146" s="271"/>
      <c r="AM146" s="271"/>
      <c r="AN146" s="271"/>
      <c r="AO146" s="271"/>
      <c r="AP146" s="271"/>
      <c r="AQ146" s="271"/>
      <c r="AR146" s="271"/>
      <c r="AS146" s="271"/>
      <c r="AT146" s="271"/>
      <c r="AU146" s="271"/>
      <c r="AV146" s="271"/>
      <c r="AW146" s="271"/>
      <c r="AX146" s="271"/>
      <c r="AY146" s="271"/>
      <c r="AZ146" s="271"/>
      <c r="BA146" s="271"/>
      <c r="BB146" s="271"/>
      <c r="BC146" s="271"/>
      <c r="BD146" s="271"/>
      <c r="BE146" s="271"/>
      <c r="BF146" s="271"/>
      <c r="BG146" s="271"/>
      <c r="BH146" s="271"/>
      <c r="BI146" s="271"/>
      <c r="BJ146" s="271"/>
      <c r="BK146" s="271"/>
      <c r="BL146" s="271"/>
      <c r="BM146" s="271"/>
      <c r="BN146" s="271"/>
      <c r="BO146" s="271"/>
      <c r="BP146" s="271"/>
      <c r="BQ146" s="271"/>
      <c r="BR146" s="271"/>
      <c r="BS146" s="271"/>
      <c r="BT146" s="271"/>
      <c r="BU146" s="271"/>
      <c r="BV146" s="271"/>
      <c r="BW146" s="271"/>
      <c r="BX146" s="271"/>
      <c r="BY146" s="271"/>
      <c r="BZ146" s="271"/>
      <c r="CA146" s="271"/>
      <c r="CB146" s="271"/>
      <c r="CC146" s="271"/>
      <c r="CD146" s="271"/>
      <c r="CE146" s="271"/>
      <c r="CF146" s="271"/>
      <c r="CG146" s="271"/>
      <c r="CH146" s="271"/>
      <c r="CI146" s="271"/>
      <c r="CJ146" s="271"/>
      <c r="CK146" s="271"/>
      <c r="CL146" s="271"/>
      <c r="CM146" s="271"/>
      <c r="CN146" s="271"/>
      <c r="CO146" s="271"/>
      <c r="CP146" s="271"/>
      <c r="CQ146" s="271"/>
      <c r="CR146" s="271"/>
      <c r="CS146" s="271"/>
      <c r="CT146" s="271"/>
      <c r="CU146" s="271"/>
      <c r="CV146" s="271"/>
      <c r="CW146" s="271"/>
      <c r="CX146" s="271"/>
      <c r="CY146" s="271"/>
      <c r="CZ146" s="271"/>
      <c r="DA146" s="271"/>
      <c r="DB146" s="271"/>
      <c r="DC146" s="271"/>
      <c r="DD146" s="271"/>
      <c r="DE146" s="271"/>
      <c r="DF146" s="271"/>
      <c r="DG146" s="271"/>
      <c r="DH146" s="271"/>
      <c r="DI146" s="271"/>
      <c r="DJ146" s="271"/>
      <c r="DK146" s="271"/>
      <c r="DL146" s="271"/>
      <c r="DM146" s="271"/>
      <c r="DN146" s="271"/>
      <c r="DO146" s="271"/>
      <c r="DP146" s="271"/>
      <c r="DQ146" s="271"/>
      <c r="DR146" s="271"/>
      <c r="DS146" s="271"/>
      <c r="DT146" s="271"/>
      <c r="DU146" s="271"/>
      <c r="DV146" s="271"/>
      <c r="DW146" s="271"/>
      <c r="DX146" s="271"/>
      <c r="DY146" s="271"/>
      <c r="DZ146" s="271"/>
      <c r="EA146" s="271"/>
      <c r="EB146" s="271"/>
      <c r="EC146" s="271"/>
      <c r="ED146" s="271"/>
      <c r="EE146" s="271"/>
      <c r="EF146" s="271"/>
      <c r="EG146" s="271"/>
      <c r="EH146" s="271"/>
      <c r="EI146" s="271"/>
      <c r="EJ146" s="271"/>
      <c r="EK146" s="271"/>
      <c r="EL146" s="271"/>
      <c r="EM146" s="271"/>
      <c r="EN146" s="271"/>
      <c r="EO146" s="271"/>
      <c r="EP146" s="271"/>
      <c r="EQ146" s="271"/>
      <c r="ER146" s="271"/>
      <c r="ES146" s="271"/>
      <c r="ET146" s="271"/>
      <c r="EU146" s="271"/>
      <c r="EV146" s="271"/>
      <c r="EW146" s="271"/>
      <c r="EX146" s="271"/>
      <c r="EY146" s="271"/>
      <c r="EZ146" s="271"/>
      <c r="FA146" s="271"/>
      <c r="FB146" s="271"/>
      <c r="FC146" s="271"/>
      <c r="FD146" s="271"/>
      <c r="FE146" s="271"/>
      <c r="FF146" s="271"/>
      <c r="FG146" s="271"/>
      <c r="FH146" s="271"/>
      <c r="FI146" s="271"/>
      <c r="FJ146" s="271"/>
      <c r="FK146" s="271"/>
      <c r="FL146" s="271"/>
      <c r="FM146" s="271"/>
      <c r="FN146" s="271"/>
      <c r="FO146" s="271"/>
      <c r="FP146" s="271"/>
      <c r="FQ146" s="271"/>
      <c r="FR146" s="271"/>
      <c r="FS146" s="271"/>
      <c r="FT146" s="271"/>
      <c r="FU146" s="271"/>
      <c r="FV146" s="271"/>
      <c r="FW146" s="271"/>
      <c r="FX146" s="271"/>
      <c r="FY146" s="271"/>
      <c r="FZ146" s="271"/>
      <c r="GA146" s="271"/>
      <c r="GB146" s="271"/>
      <c r="GC146" s="271"/>
      <c r="GD146" s="271"/>
      <c r="GE146" s="271"/>
      <c r="GF146" s="271"/>
      <c r="GG146" s="271"/>
      <c r="GH146" s="271"/>
      <c r="GI146" s="271"/>
      <c r="GJ146" s="271"/>
      <c r="GK146" s="271"/>
      <c r="GL146" s="271"/>
      <c r="GM146" s="271"/>
      <c r="GN146" s="271"/>
      <c r="GO146" s="271"/>
      <c r="GP146" s="271"/>
      <c r="GQ146" s="271"/>
      <c r="GR146" s="271"/>
      <c r="GS146" s="271"/>
      <c r="GT146" s="271"/>
      <c r="GU146" s="271"/>
      <c r="GV146" s="271"/>
      <c r="GW146" s="271"/>
      <c r="GX146" s="271"/>
      <c r="GY146" s="271"/>
      <c r="GZ146" s="271"/>
      <c r="HA146" s="271"/>
      <c r="HB146" s="271"/>
      <c r="HC146" s="271"/>
      <c r="HD146" s="271"/>
      <c r="HE146" s="271"/>
      <c r="HF146" s="271"/>
      <c r="HG146" s="271"/>
      <c r="HH146" s="271"/>
      <c r="HI146" s="271"/>
      <c r="HJ146" s="271"/>
      <c r="HK146" s="271"/>
      <c r="HL146" s="271"/>
      <c r="HM146" s="271"/>
      <c r="HN146" s="271"/>
      <c r="HO146" s="271"/>
      <c r="HP146" s="271"/>
      <c r="HQ146" s="271"/>
      <c r="HR146" s="271"/>
      <c r="HS146" s="271"/>
      <c r="HT146" s="271"/>
      <c r="HU146" s="271"/>
      <c r="HV146" s="271"/>
      <c r="HW146" s="271"/>
    </row>
    <row r="147" spans="1:231" s="289" customFormat="1" ht="15.75">
      <c r="A147" s="290" t="s">
        <v>617</v>
      </c>
      <c r="B147" s="291" t="s">
        <v>939</v>
      </c>
      <c r="C147" s="4"/>
      <c r="D147" s="273"/>
      <c r="E147" s="249"/>
      <c r="F147" s="284"/>
      <c r="G147" s="20">
        <f>SUBTOTAL(109,G148:G151)</f>
        <v>17413</v>
      </c>
      <c r="H147" s="20">
        <f t="shared" ref="H147:K147" si="15">SUBTOTAL(109,H148:H151)</f>
        <v>14203</v>
      </c>
      <c r="I147" s="20">
        <f t="shared" si="15"/>
        <v>5994</v>
      </c>
      <c r="J147" s="20">
        <f t="shared" si="15"/>
        <v>2784</v>
      </c>
      <c r="K147" s="20">
        <f t="shared" si="15"/>
        <v>6198</v>
      </c>
      <c r="L147" s="36"/>
      <c r="M147" s="221"/>
      <c r="N147" s="271"/>
      <c r="O147" s="271"/>
      <c r="P147" s="172">
        <f t="shared" si="13"/>
        <v>12192</v>
      </c>
      <c r="Q147" s="172">
        <f t="shared" si="14"/>
        <v>8982</v>
      </c>
      <c r="R147" s="271"/>
      <c r="S147" s="271"/>
      <c r="T147" s="271"/>
      <c r="U147" s="271"/>
      <c r="V147" s="271"/>
      <c r="W147" s="271"/>
      <c r="X147" s="271"/>
      <c r="Y147" s="271"/>
      <c r="Z147" s="271"/>
      <c r="AA147" s="271"/>
      <c r="AB147" s="271"/>
      <c r="AC147" s="271"/>
      <c r="AD147" s="271"/>
      <c r="AE147" s="271"/>
      <c r="AF147" s="271"/>
      <c r="AG147" s="271"/>
      <c r="AH147" s="271"/>
      <c r="AI147" s="271"/>
      <c r="AJ147" s="271"/>
      <c r="AK147" s="271"/>
      <c r="AL147" s="271"/>
      <c r="AM147" s="271"/>
      <c r="AN147" s="271"/>
      <c r="AO147" s="271"/>
      <c r="AP147" s="271"/>
      <c r="AQ147" s="271"/>
      <c r="AR147" s="271"/>
      <c r="AS147" s="271"/>
      <c r="AT147" s="271"/>
      <c r="AU147" s="271"/>
      <c r="AV147" s="271"/>
      <c r="AW147" s="271"/>
      <c r="AX147" s="271"/>
      <c r="AY147" s="271"/>
      <c r="AZ147" s="271"/>
      <c r="BA147" s="271"/>
      <c r="BB147" s="271"/>
      <c r="BC147" s="271"/>
      <c r="BD147" s="271"/>
      <c r="BE147" s="271"/>
      <c r="BF147" s="271"/>
      <c r="BG147" s="271"/>
      <c r="BH147" s="271"/>
      <c r="BI147" s="271"/>
      <c r="BJ147" s="271"/>
      <c r="BK147" s="271"/>
      <c r="BL147" s="271"/>
      <c r="BM147" s="271"/>
      <c r="BN147" s="271"/>
      <c r="BO147" s="271"/>
      <c r="BP147" s="271"/>
      <c r="BQ147" s="271"/>
      <c r="BR147" s="271"/>
      <c r="BS147" s="271"/>
      <c r="BT147" s="271"/>
      <c r="BU147" s="271"/>
      <c r="BV147" s="271"/>
      <c r="BW147" s="271"/>
      <c r="BX147" s="271"/>
      <c r="BY147" s="271"/>
      <c r="BZ147" s="271"/>
      <c r="CA147" s="271"/>
      <c r="CB147" s="271"/>
      <c r="CC147" s="271"/>
      <c r="CD147" s="271"/>
      <c r="CE147" s="271"/>
      <c r="CF147" s="271"/>
      <c r="CG147" s="271"/>
      <c r="CH147" s="271"/>
      <c r="CI147" s="271"/>
      <c r="CJ147" s="271"/>
      <c r="CK147" s="271"/>
      <c r="CL147" s="271"/>
      <c r="CM147" s="271"/>
      <c r="CN147" s="271"/>
      <c r="CO147" s="271"/>
      <c r="CP147" s="271"/>
      <c r="CQ147" s="271"/>
      <c r="CR147" s="271"/>
      <c r="CS147" s="271"/>
      <c r="CT147" s="271"/>
      <c r="CU147" s="271"/>
      <c r="CV147" s="271"/>
      <c r="CW147" s="271"/>
      <c r="CX147" s="271"/>
      <c r="CY147" s="271"/>
      <c r="CZ147" s="271"/>
      <c r="DA147" s="271"/>
      <c r="DB147" s="271"/>
      <c r="DC147" s="271"/>
      <c r="DD147" s="271"/>
      <c r="DE147" s="271"/>
      <c r="DF147" s="271"/>
      <c r="DG147" s="271"/>
      <c r="DH147" s="271"/>
      <c r="DI147" s="271"/>
      <c r="DJ147" s="271"/>
      <c r="DK147" s="271"/>
      <c r="DL147" s="271"/>
      <c r="DM147" s="271"/>
      <c r="DN147" s="271"/>
      <c r="DO147" s="271"/>
      <c r="DP147" s="271"/>
      <c r="DQ147" s="271"/>
      <c r="DR147" s="271"/>
      <c r="DS147" s="271"/>
      <c r="DT147" s="271"/>
      <c r="DU147" s="271"/>
      <c r="DV147" s="271"/>
      <c r="DW147" s="271"/>
      <c r="DX147" s="271"/>
      <c r="DY147" s="271"/>
      <c r="DZ147" s="271"/>
      <c r="EA147" s="271"/>
      <c r="EB147" s="271"/>
      <c r="EC147" s="271"/>
      <c r="ED147" s="271"/>
      <c r="EE147" s="271"/>
      <c r="EF147" s="271"/>
      <c r="EG147" s="271"/>
      <c r="EH147" s="271"/>
      <c r="EI147" s="271"/>
      <c r="EJ147" s="271"/>
      <c r="EK147" s="271"/>
      <c r="EL147" s="271"/>
      <c r="EM147" s="271"/>
      <c r="EN147" s="271"/>
      <c r="EO147" s="271"/>
      <c r="EP147" s="271"/>
      <c r="EQ147" s="271"/>
      <c r="ER147" s="271"/>
      <c r="ES147" s="271"/>
      <c r="ET147" s="271"/>
      <c r="EU147" s="271"/>
      <c r="EV147" s="271"/>
      <c r="EW147" s="271"/>
      <c r="EX147" s="271"/>
      <c r="EY147" s="271"/>
      <c r="EZ147" s="271"/>
      <c r="FA147" s="271"/>
      <c r="FB147" s="271"/>
      <c r="FC147" s="271"/>
      <c r="FD147" s="271"/>
      <c r="FE147" s="271"/>
      <c r="FF147" s="271"/>
      <c r="FG147" s="271"/>
      <c r="FH147" s="271"/>
      <c r="FI147" s="271"/>
      <c r="FJ147" s="271"/>
      <c r="FK147" s="271"/>
      <c r="FL147" s="271"/>
      <c r="FM147" s="271"/>
      <c r="FN147" s="271"/>
      <c r="FO147" s="271"/>
      <c r="FP147" s="271"/>
      <c r="FQ147" s="271"/>
      <c r="FR147" s="271"/>
      <c r="FS147" s="271"/>
      <c r="FT147" s="271"/>
      <c r="FU147" s="271"/>
      <c r="FV147" s="271"/>
      <c r="FW147" s="271"/>
      <c r="FX147" s="271"/>
      <c r="FY147" s="271"/>
      <c r="FZ147" s="271"/>
      <c r="GA147" s="271"/>
      <c r="GB147" s="271"/>
      <c r="GC147" s="271"/>
      <c r="GD147" s="271"/>
      <c r="GE147" s="271"/>
      <c r="GF147" s="271"/>
      <c r="GG147" s="271"/>
      <c r="GH147" s="271"/>
      <c r="GI147" s="271"/>
      <c r="GJ147" s="271"/>
      <c r="GK147" s="271"/>
      <c r="GL147" s="271"/>
      <c r="GM147" s="271"/>
      <c r="GN147" s="271"/>
      <c r="GO147" s="271"/>
      <c r="GP147" s="271"/>
      <c r="GQ147" s="271"/>
      <c r="GR147" s="271"/>
      <c r="GS147" s="271"/>
      <c r="GT147" s="271"/>
      <c r="GU147" s="271"/>
      <c r="GV147" s="271"/>
      <c r="GW147" s="271"/>
      <c r="GX147" s="271"/>
      <c r="GY147" s="271"/>
      <c r="GZ147" s="271"/>
      <c r="HA147" s="271"/>
      <c r="HB147" s="271"/>
      <c r="HC147" s="271"/>
      <c r="HD147" s="271"/>
      <c r="HE147" s="271"/>
      <c r="HF147" s="271"/>
      <c r="HG147" s="271"/>
      <c r="HH147" s="271"/>
      <c r="HI147" s="271"/>
      <c r="HJ147" s="271"/>
      <c r="HK147" s="271"/>
      <c r="HL147" s="271"/>
      <c r="HM147" s="271"/>
      <c r="HN147" s="271"/>
      <c r="HO147" s="271"/>
      <c r="HP147" s="271"/>
      <c r="HQ147" s="271"/>
      <c r="HR147" s="271"/>
      <c r="HS147" s="271"/>
      <c r="HT147" s="271"/>
      <c r="HU147" s="271"/>
      <c r="HV147" s="271"/>
      <c r="HW147" s="271"/>
    </row>
    <row r="148" spans="1:231" s="304" customFormat="1" ht="15.75">
      <c r="A148" s="292" t="s">
        <v>821</v>
      </c>
      <c r="B148" s="293" t="s">
        <v>522</v>
      </c>
      <c r="C148" s="294"/>
      <c r="D148" s="295"/>
      <c r="E148" s="296"/>
      <c r="F148" s="297"/>
      <c r="G148" s="298"/>
      <c r="H148" s="299"/>
      <c r="I148" s="300"/>
      <c r="J148" s="300"/>
      <c r="K148" s="301"/>
      <c r="L148" s="37"/>
      <c r="M148" s="302"/>
      <c r="N148" s="303"/>
      <c r="O148" s="303"/>
      <c r="P148" s="172">
        <f t="shared" si="13"/>
        <v>0</v>
      </c>
      <c r="Q148" s="172">
        <f t="shared" si="14"/>
        <v>0</v>
      </c>
      <c r="R148" s="303"/>
      <c r="S148" s="303"/>
      <c r="T148" s="303"/>
      <c r="U148" s="303"/>
      <c r="V148" s="303"/>
      <c r="W148" s="303"/>
      <c r="X148" s="303"/>
      <c r="Y148" s="303"/>
      <c r="Z148" s="303"/>
      <c r="AA148" s="303"/>
      <c r="AB148" s="303"/>
      <c r="AC148" s="303"/>
      <c r="AD148" s="303"/>
      <c r="AE148" s="303"/>
      <c r="AF148" s="303"/>
      <c r="AG148" s="303"/>
      <c r="AH148" s="303"/>
      <c r="AI148" s="303"/>
      <c r="AJ148" s="303"/>
      <c r="AK148" s="303"/>
      <c r="AL148" s="303"/>
      <c r="AM148" s="303"/>
      <c r="AN148" s="303"/>
      <c r="AO148" s="303"/>
      <c r="AP148" s="303"/>
      <c r="AQ148" s="303"/>
      <c r="AR148" s="303"/>
      <c r="AS148" s="303"/>
      <c r="AT148" s="303"/>
      <c r="AU148" s="303"/>
      <c r="AV148" s="303"/>
      <c r="AW148" s="303"/>
      <c r="AX148" s="303"/>
      <c r="AY148" s="303"/>
      <c r="AZ148" s="303"/>
      <c r="BA148" s="303"/>
      <c r="BB148" s="303"/>
      <c r="BC148" s="303"/>
      <c r="BD148" s="303"/>
      <c r="BE148" s="303"/>
      <c r="BF148" s="303"/>
      <c r="BG148" s="303"/>
      <c r="BH148" s="303"/>
      <c r="BI148" s="303"/>
      <c r="BJ148" s="303"/>
      <c r="BK148" s="303"/>
      <c r="BL148" s="303"/>
      <c r="BM148" s="303"/>
      <c r="BN148" s="303"/>
      <c r="BO148" s="303"/>
      <c r="BP148" s="303"/>
      <c r="BQ148" s="303"/>
      <c r="BR148" s="303"/>
      <c r="BS148" s="303"/>
      <c r="BT148" s="303"/>
      <c r="BU148" s="303"/>
      <c r="BV148" s="303"/>
      <c r="BW148" s="303"/>
      <c r="BX148" s="303"/>
      <c r="BY148" s="303"/>
      <c r="BZ148" s="303"/>
      <c r="CA148" s="303"/>
      <c r="CB148" s="303"/>
      <c r="CC148" s="303"/>
      <c r="CD148" s="303"/>
      <c r="CE148" s="303"/>
      <c r="CF148" s="303"/>
      <c r="CG148" s="303"/>
      <c r="CH148" s="303"/>
      <c r="CI148" s="303"/>
      <c r="CJ148" s="303"/>
      <c r="CK148" s="303"/>
      <c r="CL148" s="303"/>
      <c r="CM148" s="303"/>
      <c r="CN148" s="303"/>
      <c r="CO148" s="303"/>
      <c r="CP148" s="303"/>
      <c r="CQ148" s="303"/>
      <c r="CR148" s="303"/>
      <c r="CS148" s="303"/>
      <c r="CT148" s="303"/>
      <c r="CU148" s="303"/>
      <c r="CV148" s="303"/>
      <c r="CW148" s="303"/>
      <c r="CX148" s="303"/>
      <c r="CY148" s="303"/>
      <c r="CZ148" s="303"/>
      <c r="DA148" s="303"/>
      <c r="DB148" s="303"/>
      <c r="DC148" s="303"/>
      <c r="DD148" s="303"/>
      <c r="DE148" s="303"/>
      <c r="DF148" s="303"/>
      <c r="DG148" s="303"/>
      <c r="DH148" s="303"/>
      <c r="DI148" s="303"/>
      <c r="DJ148" s="303"/>
      <c r="DK148" s="303"/>
      <c r="DL148" s="303"/>
      <c r="DM148" s="303"/>
      <c r="DN148" s="303"/>
      <c r="DO148" s="303"/>
      <c r="DP148" s="303"/>
      <c r="DQ148" s="303"/>
      <c r="DR148" s="303"/>
      <c r="DS148" s="303"/>
      <c r="DT148" s="303"/>
      <c r="DU148" s="303"/>
      <c r="DV148" s="303"/>
      <c r="DW148" s="303"/>
      <c r="DX148" s="303"/>
      <c r="DY148" s="303"/>
      <c r="DZ148" s="303"/>
      <c r="EA148" s="303"/>
      <c r="EB148" s="303"/>
      <c r="EC148" s="303"/>
      <c r="ED148" s="303"/>
      <c r="EE148" s="303"/>
      <c r="EF148" s="303"/>
      <c r="EG148" s="303"/>
      <c r="EH148" s="303"/>
      <c r="EI148" s="303"/>
      <c r="EJ148" s="303"/>
      <c r="EK148" s="303"/>
      <c r="EL148" s="303"/>
      <c r="EM148" s="303"/>
      <c r="EN148" s="303"/>
      <c r="EO148" s="303"/>
      <c r="EP148" s="303"/>
      <c r="EQ148" s="303"/>
      <c r="ER148" s="303"/>
      <c r="ES148" s="303"/>
      <c r="ET148" s="303"/>
      <c r="EU148" s="303"/>
      <c r="EV148" s="303"/>
      <c r="EW148" s="303"/>
      <c r="EX148" s="303"/>
      <c r="EY148" s="303"/>
      <c r="EZ148" s="303"/>
      <c r="FA148" s="303"/>
      <c r="FB148" s="303"/>
      <c r="FC148" s="303"/>
      <c r="FD148" s="303"/>
      <c r="FE148" s="303"/>
      <c r="FF148" s="303"/>
      <c r="FG148" s="303"/>
      <c r="FH148" s="303"/>
      <c r="FI148" s="303"/>
      <c r="FJ148" s="303"/>
      <c r="FK148" s="303"/>
      <c r="FL148" s="303"/>
      <c r="FM148" s="303"/>
      <c r="FN148" s="303"/>
      <c r="FO148" s="303"/>
      <c r="FP148" s="303"/>
      <c r="FQ148" s="303"/>
      <c r="FR148" s="303"/>
      <c r="FS148" s="303"/>
      <c r="FT148" s="303"/>
      <c r="FU148" s="303"/>
      <c r="FV148" s="303"/>
      <c r="FW148" s="303"/>
      <c r="FX148" s="303"/>
      <c r="FY148" s="303"/>
      <c r="FZ148" s="303"/>
      <c r="GA148" s="303"/>
      <c r="GB148" s="303"/>
      <c r="GC148" s="303"/>
      <c r="GD148" s="303"/>
      <c r="GE148" s="303"/>
      <c r="GF148" s="303"/>
      <c r="GG148" s="303"/>
      <c r="GH148" s="303"/>
      <c r="GI148" s="303"/>
      <c r="GJ148" s="303"/>
      <c r="GK148" s="303"/>
      <c r="GL148" s="303"/>
      <c r="GM148" s="303"/>
      <c r="GN148" s="303"/>
      <c r="GO148" s="303"/>
      <c r="GP148" s="303"/>
      <c r="GQ148" s="303"/>
      <c r="GR148" s="303"/>
      <c r="GS148" s="303"/>
      <c r="GT148" s="303"/>
      <c r="GU148" s="303"/>
      <c r="GV148" s="303"/>
      <c r="GW148" s="303"/>
      <c r="GX148" s="303"/>
      <c r="GY148" s="303"/>
      <c r="GZ148" s="303"/>
      <c r="HA148" s="303"/>
      <c r="HB148" s="303"/>
      <c r="HC148" s="303"/>
      <c r="HD148" s="303"/>
      <c r="HE148" s="303"/>
      <c r="HF148" s="303"/>
      <c r="HG148" s="303"/>
      <c r="HH148" s="303"/>
      <c r="HI148" s="303"/>
      <c r="HJ148" s="303"/>
      <c r="HK148" s="303"/>
      <c r="HL148" s="303"/>
      <c r="HM148" s="303"/>
      <c r="HN148" s="303"/>
      <c r="HO148" s="303"/>
      <c r="HP148" s="303"/>
      <c r="HQ148" s="303"/>
      <c r="HR148" s="303"/>
      <c r="HS148" s="303"/>
      <c r="HT148" s="303"/>
      <c r="HU148" s="303"/>
      <c r="HV148" s="303"/>
      <c r="HW148" s="303"/>
    </row>
    <row r="149" spans="1:231" s="8" customFormat="1" ht="45" customHeight="1">
      <c r="A149" s="10">
        <v>1</v>
      </c>
      <c r="B149" s="29" t="s">
        <v>739</v>
      </c>
      <c r="C149" s="218" t="s">
        <v>33</v>
      </c>
      <c r="D149" s="3">
        <v>2015</v>
      </c>
      <c r="E149" s="3">
        <v>2018</v>
      </c>
      <c r="F149" s="185" t="s">
        <v>740</v>
      </c>
      <c r="G149" s="35">
        <v>5210</v>
      </c>
      <c r="H149" s="35">
        <v>2000</v>
      </c>
      <c r="I149" s="35">
        <v>3210</v>
      </c>
      <c r="J149" s="35">
        <v>0</v>
      </c>
      <c r="K149" s="288">
        <v>2000</v>
      </c>
      <c r="L149" s="36" t="s">
        <v>934</v>
      </c>
      <c r="M149" s="221"/>
      <c r="N149" s="305"/>
      <c r="O149" s="305"/>
      <c r="P149" s="172">
        <f t="shared" si="13"/>
        <v>5210</v>
      </c>
      <c r="Q149" s="172">
        <f t="shared" si="14"/>
        <v>2000</v>
      </c>
      <c r="R149" s="305"/>
      <c r="S149" s="305"/>
      <c r="T149" s="305"/>
      <c r="U149" s="305"/>
      <c r="V149" s="305"/>
      <c r="W149" s="305"/>
      <c r="X149" s="305"/>
      <c r="Y149" s="305"/>
      <c r="Z149" s="305"/>
      <c r="AA149" s="305"/>
      <c r="AB149" s="305"/>
      <c r="AC149" s="305"/>
      <c r="AD149" s="305"/>
      <c r="AE149" s="305"/>
      <c r="AF149" s="305"/>
      <c r="AG149" s="305"/>
      <c r="AH149" s="305"/>
      <c r="AI149" s="305"/>
      <c r="AJ149" s="305"/>
      <c r="AK149" s="305"/>
      <c r="AL149" s="305"/>
      <c r="AM149" s="305"/>
      <c r="AN149" s="305"/>
      <c r="AO149" s="305"/>
      <c r="AP149" s="305"/>
      <c r="AQ149" s="305"/>
      <c r="AR149" s="305"/>
      <c r="AS149" s="305"/>
      <c r="AT149" s="305"/>
      <c r="AU149" s="305"/>
      <c r="AV149" s="305"/>
      <c r="AW149" s="305"/>
      <c r="AX149" s="305"/>
      <c r="AY149" s="305"/>
      <c r="AZ149" s="305"/>
      <c r="BA149" s="305"/>
      <c r="BB149" s="305"/>
      <c r="BC149" s="305"/>
      <c r="BD149" s="305"/>
      <c r="BE149" s="305"/>
      <c r="BF149" s="305"/>
      <c r="BG149" s="305"/>
      <c r="BH149" s="305"/>
      <c r="BI149" s="305"/>
      <c r="BJ149" s="305"/>
      <c r="BK149" s="305"/>
      <c r="BL149" s="305"/>
      <c r="BM149" s="305"/>
      <c r="BN149" s="305"/>
      <c r="BO149" s="305"/>
      <c r="BP149" s="305"/>
      <c r="BQ149" s="305"/>
      <c r="BR149" s="305"/>
      <c r="BS149" s="305"/>
      <c r="BT149" s="305"/>
      <c r="BU149" s="305"/>
      <c r="BV149" s="305"/>
      <c r="BW149" s="305"/>
      <c r="BX149" s="305"/>
      <c r="BY149" s="305"/>
      <c r="BZ149" s="305"/>
      <c r="CA149" s="305"/>
      <c r="CB149" s="305"/>
      <c r="CC149" s="305"/>
      <c r="CD149" s="305"/>
      <c r="CE149" s="305"/>
      <c r="CF149" s="305"/>
      <c r="CG149" s="305"/>
      <c r="CH149" s="305"/>
      <c r="CI149" s="305"/>
      <c r="CJ149" s="305"/>
      <c r="CK149" s="305"/>
      <c r="CL149" s="305"/>
      <c r="CM149" s="305"/>
      <c r="CN149" s="305"/>
      <c r="CO149" s="305"/>
      <c r="CP149" s="305"/>
      <c r="CQ149" s="305"/>
      <c r="CR149" s="305"/>
      <c r="CS149" s="305"/>
      <c r="CT149" s="305"/>
      <c r="CU149" s="305"/>
      <c r="CV149" s="305"/>
      <c r="CW149" s="305"/>
      <c r="CX149" s="305"/>
      <c r="CY149" s="305"/>
      <c r="CZ149" s="305"/>
      <c r="DA149" s="305"/>
      <c r="DB149" s="305"/>
      <c r="DC149" s="305"/>
      <c r="DD149" s="305"/>
      <c r="DE149" s="305"/>
      <c r="DF149" s="305"/>
      <c r="DG149" s="305"/>
      <c r="DH149" s="305"/>
      <c r="DI149" s="305"/>
      <c r="DJ149" s="305"/>
      <c r="DK149" s="305"/>
      <c r="DL149" s="305"/>
      <c r="DM149" s="305"/>
      <c r="DN149" s="305"/>
      <c r="DO149" s="305"/>
      <c r="DP149" s="305"/>
      <c r="DQ149" s="305"/>
      <c r="DR149" s="305"/>
      <c r="DS149" s="305"/>
      <c r="DT149" s="305"/>
      <c r="DU149" s="305"/>
      <c r="DV149" s="305"/>
      <c r="DW149" s="305"/>
      <c r="DX149" s="305"/>
      <c r="DY149" s="305"/>
      <c r="DZ149" s="305"/>
      <c r="EA149" s="305"/>
      <c r="EB149" s="305"/>
      <c r="EC149" s="305"/>
      <c r="ED149" s="305"/>
      <c r="EE149" s="305"/>
      <c r="EF149" s="305"/>
      <c r="EG149" s="305"/>
      <c r="EH149" s="305"/>
      <c r="EI149" s="305"/>
      <c r="EJ149" s="305"/>
      <c r="EK149" s="305"/>
      <c r="EL149" s="305"/>
      <c r="EM149" s="305"/>
      <c r="EN149" s="305"/>
      <c r="EO149" s="305"/>
      <c r="EP149" s="305"/>
      <c r="EQ149" s="305"/>
      <c r="ER149" s="305"/>
      <c r="ES149" s="305"/>
      <c r="ET149" s="305"/>
      <c r="EU149" s="305"/>
      <c r="EV149" s="305"/>
      <c r="EW149" s="305"/>
      <c r="EX149" s="305"/>
      <c r="EY149" s="305"/>
      <c r="EZ149" s="305"/>
      <c r="FA149" s="305"/>
      <c r="FB149" s="305"/>
      <c r="FC149" s="305"/>
      <c r="FD149" s="305"/>
      <c r="FE149" s="305"/>
      <c r="FF149" s="305"/>
      <c r="FG149" s="305"/>
      <c r="FH149" s="305"/>
      <c r="FI149" s="305"/>
      <c r="FJ149" s="305"/>
      <c r="FK149" s="305"/>
      <c r="FL149" s="305"/>
      <c r="FM149" s="305"/>
      <c r="FN149" s="305"/>
      <c r="FO149" s="305"/>
      <c r="FP149" s="305"/>
      <c r="FQ149" s="305"/>
      <c r="FR149" s="305"/>
      <c r="FS149" s="305"/>
      <c r="FT149" s="305"/>
      <c r="FU149" s="305"/>
      <c r="FV149" s="305"/>
      <c r="FW149" s="305"/>
      <c r="FX149" s="305"/>
      <c r="FY149" s="305"/>
      <c r="FZ149" s="305"/>
      <c r="GA149" s="305"/>
      <c r="GB149" s="305"/>
      <c r="GC149" s="305"/>
      <c r="GD149" s="305"/>
      <c r="GE149" s="305"/>
      <c r="GF149" s="305"/>
      <c r="GG149" s="305"/>
      <c r="GH149" s="305"/>
      <c r="GI149" s="305"/>
      <c r="GJ149" s="305"/>
      <c r="GK149" s="305"/>
      <c r="GL149" s="305"/>
      <c r="GM149" s="305"/>
      <c r="GN149" s="305"/>
      <c r="GO149" s="305"/>
      <c r="GP149" s="305"/>
      <c r="GQ149" s="305"/>
      <c r="GR149" s="305"/>
      <c r="GS149" s="305"/>
      <c r="GT149" s="305"/>
      <c r="GU149" s="305"/>
      <c r="GV149" s="305"/>
      <c r="GW149" s="305"/>
      <c r="GX149" s="305"/>
      <c r="GY149" s="305"/>
      <c r="GZ149" s="305"/>
      <c r="HA149" s="305"/>
      <c r="HB149" s="305"/>
      <c r="HC149" s="305"/>
      <c r="HD149" s="305"/>
      <c r="HE149" s="305"/>
      <c r="HF149" s="305"/>
      <c r="HG149" s="305"/>
      <c r="HH149" s="305"/>
      <c r="HI149" s="305"/>
      <c r="HJ149" s="305"/>
      <c r="HK149" s="305"/>
      <c r="HL149" s="305"/>
      <c r="HM149" s="305"/>
      <c r="HN149" s="305"/>
      <c r="HO149" s="305"/>
      <c r="HP149" s="305"/>
      <c r="HQ149" s="305"/>
      <c r="HR149" s="305"/>
      <c r="HS149" s="305"/>
      <c r="HT149" s="305"/>
      <c r="HU149" s="305"/>
      <c r="HV149" s="305"/>
      <c r="HW149" s="305"/>
    </row>
    <row r="150" spans="1:231" s="310" customFormat="1" ht="15.75">
      <c r="A150" s="292" t="s">
        <v>825</v>
      </c>
      <c r="B150" s="293" t="s">
        <v>700</v>
      </c>
      <c r="C150" s="160"/>
      <c r="D150" s="306"/>
      <c r="E150" s="307"/>
      <c r="F150" s="308"/>
      <c r="G150" s="166"/>
      <c r="H150" s="166"/>
      <c r="I150" s="166"/>
      <c r="J150" s="166"/>
      <c r="K150" s="166"/>
      <c r="L150" s="38"/>
      <c r="M150" s="167"/>
      <c r="N150" s="309"/>
      <c r="O150" s="309"/>
      <c r="P150" s="172">
        <f t="shared" si="13"/>
        <v>0</v>
      </c>
      <c r="Q150" s="172">
        <f t="shared" si="14"/>
        <v>0</v>
      </c>
      <c r="R150" s="309"/>
      <c r="S150" s="309"/>
      <c r="T150" s="309"/>
      <c r="U150" s="309"/>
      <c r="V150" s="309"/>
      <c r="W150" s="309"/>
      <c r="X150" s="309"/>
      <c r="Y150" s="309"/>
      <c r="Z150" s="309"/>
      <c r="AA150" s="309"/>
      <c r="AB150" s="309"/>
      <c r="AC150" s="309"/>
      <c r="AD150" s="309"/>
      <c r="AE150" s="309"/>
      <c r="AF150" s="309"/>
      <c r="AG150" s="309"/>
      <c r="AH150" s="309"/>
      <c r="AI150" s="309"/>
      <c r="AJ150" s="309"/>
      <c r="AK150" s="309"/>
      <c r="AL150" s="309"/>
      <c r="AM150" s="309"/>
      <c r="AN150" s="309"/>
      <c r="AO150" s="309"/>
      <c r="AP150" s="309"/>
      <c r="AQ150" s="309"/>
      <c r="AR150" s="309"/>
      <c r="AS150" s="309"/>
      <c r="AT150" s="309"/>
      <c r="AU150" s="309"/>
      <c r="AV150" s="309"/>
      <c r="AW150" s="309"/>
      <c r="AX150" s="309"/>
      <c r="AY150" s="309"/>
      <c r="AZ150" s="309"/>
      <c r="BA150" s="309"/>
      <c r="BB150" s="309"/>
      <c r="BC150" s="309"/>
      <c r="BD150" s="309"/>
      <c r="BE150" s="309"/>
      <c r="BF150" s="309"/>
      <c r="BG150" s="309"/>
      <c r="BH150" s="309"/>
      <c r="BI150" s="309"/>
      <c r="BJ150" s="309"/>
      <c r="BK150" s="309"/>
      <c r="BL150" s="309"/>
      <c r="BM150" s="309"/>
      <c r="BN150" s="309"/>
      <c r="BO150" s="309"/>
      <c r="BP150" s="309"/>
      <c r="BQ150" s="309"/>
      <c r="BR150" s="309"/>
      <c r="BS150" s="309"/>
      <c r="BT150" s="309"/>
      <c r="BU150" s="309"/>
      <c r="BV150" s="309"/>
      <c r="BW150" s="309"/>
      <c r="BX150" s="309"/>
      <c r="BY150" s="309"/>
      <c r="BZ150" s="309"/>
      <c r="CA150" s="309"/>
      <c r="CB150" s="309"/>
      <c r="CC150" s="309"/>
      <c r="CD150" s="309"/>
      <c r="CE150" s="309"/>
      <c r="CF150" s="309"/>
      <c r="CG150" s="309"/>
      <c r="CH150" s="309"/>
      <c r="CI150" s="309"/>
      <c r="CJ150" s="309"/>
      <c r="CK150" s="309"/>
      <c r="CL150" s="309"/>
      <c r="CM150" s="309"/>
      <c r="CN150" s="309"/>
      <c r="CO150" s="309"/>
      <c r="CP150" s="309"/>
      <c r="CQ150" s="309"/>
      <c r="CR150" s="309"/>
      <c r="CS150" s="309"/>
      <c r="CT150" s="309"/>
      <c r="CU150" s="309"/>
      <c r="CV150" s="309"/>
      <c r="CW150" s="309"/>
      <c r="CX150" s="309"/>
      <c r="CY150" s="309"/>
      <c r="CZ150" s="309"/>
      <c r="DA150" s="309"/>
      <c r="DB150" s="309"/>
      <c r="DC150" s="309"/>
      <c r="DD150" s="309"/>
      <c r="DE150" s="309"/>
      <c r="DF150" s="309"/>
      <c r="DG150" s="309"/>
      <c r="DH150" s="309"/>
      <c r="DI150" s="309"/>
      <c r="DJ150" s="309"/>
      <c r="DK150" s="309"/>
      <c r="DL150" s="309"/>
      <c r="DM150" s="309"/>
      <c r="DN150" s="309"/>
      <c r="DO150" s="309"/>
      <c r="DP150" s="309"/>
      <c r="DQ150" s="309"/>
      <c r="DR150" s="309"/>
      <c r="DS150" s="309"/>
      <c r="DT150" s="309"/>
      <c r="DU150" s="309"/>
      <c r="DV150" s="309"/>
      <c r="DW150" s="309"/>
      <c r="DX150" s="309"/>
      <c r="DY150" s="309"/>
      <c r="DZ150" s="309"/>
      <c r="EA150" s="309"/>
      <c r="EB150" s="309"/>
      <c r="EC150" s="309"/>
      <c r="ED150" s="309"/>
      <c r="EE150" s="309"/>
      <c r="EF150" s="309"/>
      <c r="EG150" s="309"/>
      <c r="EH150" s="309"/>
      <c r="EI150" s="309"/>
      <c r="EJ150" s="309"/>
      <c r="EK150" s="309"/>
      <c r="EL150" s="309"/>
      <c r="EM150" s="309"/>
      <c r="EN150" s="309"/>
      <c r="EO150" s="309"/>
      <c r="EP150" s="309"/>
      <c r="EQ150" s="309"/>
      <c r="ER150" s="309"/>
      <c r="ES150" s="309"/>
      <c r="ET150" s="309"/>
      <c r="EU150" s="309"/>
      <c r="EV150" s="309"/>
      <c r="EW150" s="309"/>
      <c r="EX150" s="309"/>
      <c r="EY150" s="309"/>
      <c r="EZ150" s="309"/>
      <c r="FA150" s="309"/>
      <c r="FB150" s="309"/>
      <c r="FC150" s="309"/>
      <c r="FD150" s="309"/>
      <c r="FE150" s="309"/>
      <c r="FF150" s="309"/>
      <c r="FG150" s="309"/>
      <c r="FH150" s="309"/>
      <c r="FI150" s="309"/>
      <c r="FJ150" s="309"/>
      <c r="FK150" s="309"/>
      <c r="FL150" s="309"/>
      <c r="FM150" s="309"/>
      <c r="FN150" s="309"/>
      <c r="FO150" s="309"/>
      <c r="FP150" s="309"/>
      <c r="FQ150" s="309"/>
      <c r="FR150" s="309"/>
      <c r="FS150" s="309"/>
      <c r="FT150" s="309"/>
      <c r="FU150" s="309"/>
      <c r="FV150" s="309"/>
      <c r="FW150" s="309"/>
      <c r="FX150" s="309"/>
      <c r="FY150" s="309"/>
      <c r="FZ150" s="309"/>
      <c r="GA150" s="309"/>
      <c r="GB150" s="309"/>
      <c r="GC150" s="309"/>
      <c r="GD150" s="309"/>
      <c r="GE150" s="309"/>
      <c r="GF150" s="309"/>
      <c r="GG150" s="309"/>
      <c r="GH150" s="309"/>
      <c r="GI150" s="309"/>
      <c r="GJ150" s="309"/>
      <c r="GK150" s="309"/>
      <c r="GL150" s="309"/>
      <c r="GM150" s="309"/>
      <c r="GN150" s="309"/>
      <c r="GO150" s="309"/>
      <c r="GP150" s="309"/>
      <c r="GQ150" s="309"/>
      <c r="GR150" s="309"/>
      <c r="GS150" s="309"/>
      <c r="GT150" s="309"/>
      <c r="GU150" s="309"/>
      <c r="GV150" s="309"/>
      <c r="GW150" s="309"/>
      <c r="GX150" s="309"/>
      <c r="GY150" s="309"/>
      <c r="GZ150" s="309"/>
      <c r="HA150" s="309"/>
      <c r="HB150" s="309"/>
      <c r="HC150" s="309"/>
      <c r="HD150" s="309"/>
      <c r="HE150" s="309"/>
      <c r="HF150" s="309"/>
      <c r="HG150" s="309"/>
      <c r="HH150" s="309"/>
      <c r="HI150" s="309"/>
      <c r="HJ150" s="309"/>
      <c r="HK150" s="309"/>
      <c r="HL150" s="309"/>
      <c r="HM150" s="309"/>
      <c r="HN150" s="309"/>
      <c r="HO150" s="309"/>
      <c r="HP150" s="309"/>
      <c r="HQ150" s="309"/>
      <c r="HR150" s="309"/>
      <c r="HS150" s="309"/>
      <c r="HT150" s="309"/>
      <c r="HU150" s="309"/>
      <c r="HV150" s="309"/>
      <c r="HW150" s="309"/>
    </row>
    <row r="151" spans="1:231" s="8" customFormat="1" ht="63">
      <c r="A151" s="10">
        <v>1</v>
      </c>
      <c r="B151" s="311" t="s">
        <v>161</v>
      </c>
      <c r="C151" s="2" t="s">
        <v>9</v>
      </c>
      <c r="D151" s="3">
        <v>2017</v>
      </c>
      <c r="E151" s="3">
        <v>2019</v>
      </c>
      <c r="F151" s="312" t="s">
        <v>457</v>
      </c>
      <c r="G151" s="313">
        <v>12203</v>
      </c>
      <c r="H151" s="313">
        <f>G151</f>
        <v>12203</v>
      </c>
      <c r="I151" s="314">
        <v>2784</v>
      </c>
      <c r="J151" s="314">
        <f>I151</f>
        <v>2784</v>
      </c>
      <c r="K151" s="313">
        <v>4198</v>
      </c>
      <c r="L151" s="315" t="s">
        <v>587</v>
      </c>
      <c r="M151" s="316"/>
      <c r="N151" s="289"/>
      <c r="O151" s="289"/>
      <c r="P151" s="172">
        <f t="shared" si="13"/>
        <v>6982</v>
      </c>
      <c r="Q151" s="172">
        <f t="shared" si="14"/>
        <v>6982</v>
      </c>
      <c r="R151" s="289"/>
      <c r="S151" s="289"/>
      <c r="T151" s="289"/>
      <c r="U151" s="289"/>
      <c r="V151" s="289"/>
      <c r="W151" s="289"/>
      <c r="X151" s="289"/>
      <c r="Y151" s="289"/>
      <c r="Z151" s="289"/>
      <c r="AA151" s="289"/>
      <c r="AB151" s="289"/>
      <c r="AC151" s="289"/>
      <c r="AD151" s="289"/>
      <c r="AE151" s="289"/>
      <c r="AF151" s="289"/>
      <c r="AG151" s="289"/>
      <c r="AH151" s="289"/>
      <c r="AI151" s="289"/>
      <c r="AJ151" s="289"/>
      <c r="AK151" s="289"/>
      <c r="AL151" s="289"/>
      <c r="AM151" s="289"/>
      <c r="AN151" s="289"/>
      <c r="AO151" s="289"/>
      <c r="AP151" s="289"/>
      <c r="AQ151" s="289"/>
      <c r="AR151" s="289"/>
      <c r="AS151" s="289"/>
      <c r="AT151" s="289"/>
      <c r="AU151" s="289"/>
      <c r="AV151" s="289"/>
      <c r="AW151" s="289"/>
      <c r="AX151" s="289"/>
      <c r="AY151" s="289"/>
      <c r="AZ151" s="289"/>
      <c r="BA151" s="289"/>
      <c r="BB151" s="289"/>
      <c r="BC151" s="289"/>
      <c r="BD151" s="289"/>
      <c r="BE151" s="289"/>
      <c r="BF151" s="289"/>
      <c r="BG151" s="289"/>
      <c r="BH151" s="289"/>
      <c r="BI151" s="289"/>
      <c r="BJ151" s="289"/>
      <c r="BK151" s="289"/>
      <c r="BL151" s="289"/>
      <c r="BM151" s="289"/>
      <c r="BN151" s="289"/>
      <c r="BO151" s="289"/>
      <c r="BP151" s="289"/>
      <c r="BQ151" s="289"/>
      <c r="BR151" s="289"/>
      <c r="BS151" s="289"/>
      <c r="BT151" s="289"/>
      <c r="BU151" s="289"/>
      <c r="BV151" s="289"/>
      <c r="BW151" s="289"/>
      <c r="BX151" s="289"/>
      <c r="BY151" s="289"/>
      <c r="BZ151" s="289"/>
      <c r="CA151" s="289"/>
      <c r="CB151" s="289"/>
      <c r="CC151" s="289"/>
      <c r="CD151" s="289"/>
      <c r="CE151" s="289"/>
      <c r="CF151" s="289"/>
      <c r="CG151" s="289"/>
      <c r="CH151" s="289"/>
      <c r="CI151" s="289"/>
      <c r="CJ151" s="289"/>
      <c r="CK151" s="289"/>
      <c r="CL151" s="289"/>
      <c r="CM151" s="289"/>
      <c r="CN151" s="289"/>
      <c r="CO151" s="289"/>
      <c r="CP151" s="289"/>
      <c r="CQ151" s="289"/>
      <c r="CR151" s="289"/>
      <c r="CS151" s="289"/>
      <c r="CT151" s="289"/>
      <c r="CU151" s="289"/>
      <c r="CV151" s="289"/>
      <c r="CW151" s="289"/>
      <c r="CX151" s="289"/>
      <c r="CY151" s="289"/>
      <c r="CZ151" s="289"/>
      <c r="DA151" s="289"/>
      <c r="DB151" s="289"/>
      <c r="DC151" s="289"/>
      <c r="DD151" s="289"/>
      <c r="DE151" s="289"/>
      <c r="DF151" s="289"/>
      <c r="DG151" s="289"/>
      <c r="DH151" s="289"/>
      <c r="DI151" s="289"/>
      <c r="DJ151" s="289"/>
      <c r="DK151" s="289"/>
      <c r="DL151" s="289"/>
      <c r="DM151" s="289"/>
      <c r="DN151" s="289"/>
      <c r="DO151" s="289"/>
      <c r="DP151" s="289"/>
      <c r="DQ151" s="289"/>
      <c r="DR151" s="289"/>
      <c r="DS151" s="289"/>
      <c r="DT151" s="289"/>
      <c r="DU151" s="289"/>
      <c r="DV151" s="289"/>
      <c r="DW151" s="289"/>
      <c r="DX151" s="289"/>
      <c r="DY151" s="289"/>
      <c r="DZ151" s="289"/>
      <c r="EA151" s="289"/>
      <c r="EB151" s="289"/>
      <c r="EC151" s="289"/>
      <c r="ED151" s="289"/>
      <c r="EE151" s="289"/>
      <c r="EF151" s="289"/>
      <c r="EG151" s="289"/>
      <c r="EH151" s="289"/>
      <c r="EI151" s="289"/>
      <c r="EJ151" s="289"/>
      <c r="EK151" s="289"/>
      <c r="EL151" s="289"/>
      <c r="EM151" s="289"/>
      <c r="EN151" s="289"/>
      <c r="EO151" s="289"/>
      <c r="EP151" s="289"/>
      <c r="EQ151" s="289"/>
      <c r="ER151" s="289"/>
      <c r="ES151" s="289"/>
      <c r="ET151" s="289"/>
      <c r="EU151" s="289"/>
      <c r="EV151" s="289"/>
      <c r="EW151" s="289"/>
      <c r="EX151" s="289"/>
      <c r="EY151" s="289"/>
      <c r="EZ151" s="289"/>
      <c r="FA151" s="289"/>
      <c r="FB151" s="289"/>
      <c r="FC151" s="289"/>
      <c r="FD151" s="289"/>
      <c r="FE151" s="289"/>
      <c r="FF151" s="289"/>
      <c r="FG151" s="289"/>
      <c r="FH151" s="289"/>
      <c r="FI151" s="289"/>
      <c r="FJ151" s="289"/>
      <c r="FK151" s="289"/>
      <c r="FL151" s="289"/>
      <c r="FM151" s="289"/>
      <c r="FN151" s="289"/>
      <c r="FO151" s="289"/>
      <c r="FP151" s="289"/>
      <c r="FQ151" s="289"/>
      <c r="FR151" s="289"/>
      <c r="FS151" s="289"/>
      <c r="FT151" s="289"/>
      <c r="FU151" s="289"/>
      <c r="FV151" s="289"/>
      <c r="FW151" s="289"/>
      <c r="FX151" s="289"/>
      <c r="FY151" s="289"/>
      <c r="FZ151" s="289"/>
      <c r="GA151" s="289"/>
      <c r="GB151" s="289"/>
      <c r="GC151" s="289"/>
      <c r="GD151" s="289"/>
      <c r="GE151" s="289"/>
      <c r="GF151" s="289"/>
      <c r="GG151" s="289"/>
      <c r="GH151" s="289"/>
      <c r="GI151" s="289"/>
      <c r="GJ151" s="289"/>
      <c r="GK151" s="289"/>
      <c r="GL151" s="289"/>
      <c r="GM151" s="289"/>
      <c r="GN151" s="289"/>
      <c r="GO151" s="289"/>
      <c r="GP151" s="289"/>
      <c r="GQ151" s="289"/>
      <c r="GR151" s="289"/>
      <c r="GS151" s="289"/>
      <c r="GT151" s="289"/>
      <c r="GU151" s="289"/>
      <c r="GV151" s="289"/>
      <c r="GW151" s="289"/>
      <c r="GX151" s="289"/>
      <c r="GY151" s="289"/>
      <c r="GZ151" s="289"/>
      <c r="HA151" s="289"/>
      <c r="HB151" s="289"/>
      <c r="HC151" s="289"/>
      <c r="HD151" s="289"/>
      <c r="HE151" s="289"/>
      <c r="HF151" s="289"/>
      <c r="HG151" s="289"/>
      <c r="HH151" s="289"/>
      <c r="HI151" s="289"/>
      <c r="HJ151" s="289"/>
      <c r="HK151" s="289"/>
      <c r="HL151" s="289"/>
      <c r="HM151" s="289"/>
      <c r="HN151" s="289"/>
      <c r="HO151" s="289"/>
      <c r="HP151" s="289"/>
      <c r="HQ151" s="289"/>
      <c r="HR151" s="289"/>
      <c r="HS151" s="289"/>
      <c r="HT151" s="289"/>
      <c r="HU151" s="289"/>
      <c r="HV151" s="289"/>
      <c r="HW151" s="289"/>
    </row>
    <row r="152" spans="1:231" s="8" customFormat="1" ht="15.75">
      <c r="A152" s="141" t="s">
        <v>940</v>
      </c>
      <c r="B152" s="142" t="s">
        <v>941</v>
      </c>
      <c r="C152" s="2"/>
      <c r="D152" s="2"/>
      <c r="E152" s="2"/>
      <c r="F152" s="159"/>
      <c r="G152" s="20">
        <f>SUBTOTAL(109,G153:G254)</f>
        <v>2755678</v>
      </c>
      <c r="H152" s="20">
        <f>SUBTOTAL(109,H153:H254)</f>
        <v>1440437.7</v>
      </c>
      <c r="I152" s="20">
        <f>SUBTOTAL(109,I153:I254)</f>
        <v>1025840</v>
      </c>
      <c r="J152" s="20">
        <f>SUBTOTAL(109,J153:J254)</f>
        <v>573207</v>
      </c>
      <c r="K152" s="20">
        <f>SUBTOTAL(109,K153:K254)</f>
        <v>274000</v>
      </c>
      <c r="L152" s="9"/>
      <c r="M152" s="113"/>
      <c r="P152" s="172">
        <f t="shared" si="13"/>
        <v>1299840</v>
      </c>
      <c r="Q152" s="172">
        <f t="shared" si="14"/>
        <v>847207</v>
      </c>
    </row>
    <row r="153" spans="1:231" s="8" customFormat="1" ht="31.5">
      <c r="A153" s="141" t="s">
        <v>471</v>
      </c>
      <c r="B153" s="142" t="s">
        <v>942</v>
      </c>
      <c r="C153" s="2"/>
      <c r="D153" s="2"/>
      <c r="E153" s="2"/>
      <c r="F153" s="159"/>
      <c r="G153" s="9"/>
      <c r="H153" s="9"/>
      <c r="I153" s="9"/>
      <c r="J153" s="9"/>
      <c r="K153" s="9">
        <f>SUBTOTAL(109,K154:K155)</f>
        <v>43750</v>
      </c>
      <c r="L153" s="9"/>
      <c r="M153" s="113"/>
      <c r="P153" s="172">
        <f t="shared" si="13"/>
        <v>43750</v>
      </c>
      <c r="Q153" s="172">
        <f t="shared" si="14"/>
        <v>43750</v>
      </c>
    </row>
    <row r="154" spans="1:231" s="305" customFormat="1" ht="31.5">
      <c r="A154" s="317" t="s">
        <v>943</v>
      </c>
      <c r="B154" s="63" t="s">
        <v>942</v>
      </c>
      <c r="C154" s="2"/>
      <c r="D154" s="2"/>
      <c r="E154" s="2"/>
      <c r="F154" s="159"/>
      <c r="G154" s="238"/>
      <c r="H154" s="238"/>
      <c r="I154" s="238"/>
      <c r="J154" s="238"/>
      <c r="K154" s="238">
        <v>10000</v>
      </c>
      <c r="L154" s="238" t="s">
        <v>653</v>
      </c>
      <c r="M154" s="318"/>
      <c r="P154" s="172">
        <f t="shared" si="13"/>
        <v>10000</v>
      </c>
      <c r="Q154" s="172">
        <f t="shared" si="14"/>
        <v>10000</v>
      </c>
    </row>
    <row r="155" spans="1:231" s="8" customFormat="1" ht="15.75">
      <c r="A155" s="317" t="s">
        <v>944</v>
      </c>
      <c r="B155" s="63" t="s">
        <v>647</v>
      </c>
      <c r="C155" s="2"/>
      <c r="D155" s="2"/>
      <c r="E155" s="2"/>
      <c r="F155" s="159"/>
      <c r="G155" s="9"/>
      <c r="H155" s="9"/>
      <c r="I155" s="9"/>
      <c r="J155" s="9"/>
      <c r="K155" s="238">
        <v>33750</v>
      </c>
      <c r="L155" s="238" t="s">
        <v>653</v>
      </c>
      <c r="M155" s="318"/>
      <c r="P155" s="172">
        <f t="shared" si="13"/>
        <v>33750</v>
      </c>
      <c r="Q155" s="172">
        <f t="shared" si="14"/>
        <v>33750</v>
      </c>
    </row>
    <row r="156" spans="1:231" s="222" customFormat="1" ht="15.75">
      <c r="A156" s="19" t="s">
        <v>472</v>
      </c>
      <c r="B156" s="30" t="s">
        <v>945</v>
      </c>
      <c r="C156" s="98"/>
      <c r="D156" s="21"/>
      <c r="E156" s="21"/>
      <c r="F156" s="319"/>
      <c r="G156" s="20">
        <f>SUBTOTAL(109,G157:G169)</f>
        <v>1129517</v>
      </c>
      <c r="H156" s="20">
        <f t="shared" ref="H156:K156" si="16">SUBTOTAL(109,H157:H169)</f>
        <v>550499</v>
      </c>
      <c r="I156" s="20">
        <f t="shared" si="16"/>
        <v>153113</v>
      </c>
      <c r="J156" s="20">
        <f t="shared" si="16"/>
        <v>118700</v>
      </c>
      <c r="K156" s="20">
        <f t="shared" si="16"/>
        <v>60000</v>
      </c>
      <c r="L156" s="20"/>
      <c r="M156" s="320"/>
      <c r="P156" s="172">
        <f t="shared" si="13"/>
        <v>213113</v>
      </c>
      <c r="Q156" s="172">
        <f t="shared" si="14"/>
        <v>178700</v>
      </c>
    </row>
    <row r="157" spans="1:231" s="235" customFormat="1" ht="15.75">
      <c r="A157" s="175" t="s">
        <v>946</v>
      </c>
      <c r="B157" s="212" t="s">
        <v>947</v>
      </c>
      <c r="C157" s="233"/>
      <c r="D157" s="178"/>
      <c r="E157" s="178"/>
      <c r="F157" s="321"/>
      <c r="G157" s="104">
        <f>SUBTOTAL(109,G158:G168)</f>
        <v>1129517</v>
      </c>
      <c r="H157" s="104">
        <f t="shared" ref="H157:K157" si="17">SUBTOTAL(109,H158:H168)</f>
        <v>550499</v>
      </c>
      <c r="I157" s="104">
        <f t="shared" si="17"/>
        <v>153113</v>
      </c>
      <c r="J157" s="104">
        <f t="shared" si="17"/>
        <v>118700</v>
      </c>
      <c r="K157" s="104">
        <f t="shared" si="17"/>
        <v>50000</v>
      </c>
      <c r="L157" s="104"/>
      <c r="M157" s="201"/>
      <c r="P157" s="172">
        <f t="shared" si="13"/>
        <v>203113</v>
      </c>
      <c r="Q157" s="172">
        <f t="shared" si="14"/>
        <v>168700</v>
      </c>
    </row>
    <row r="158" spans="1:231" s="12" customFormat="1" ht="39" customHeight="1">
      <c r="A158" s="10">
        <v>1</v>
      </c>
      <c r="B158" s="5" t="s">
        <v>948</v>
      </c>
      <c r="C158" s="4" t="s">
        <v>355</v>
      </c>
      <c r="D158" s="170">
        <v>2013</v>
      </c>
      <c r="E158" s="170">
        <v>2018</v>
      </c>
      <c r="F158" s="322" t="s">
        <v>78</v>
      </c>
      <c r="G158" s="323">
        <v>141538</v>
      </c>
      <c r="H158" s="324">
        <v>4900</v>
      </c>
      <c r="I158" s="323">
        <v>10400</v>
      </c>
      <c r="J158" s="324">
        <v>3500</v>
      </c>
      <c r="K158" s="325">
        <v>1000</v>
      </c>
      <c r="L158" s="326" t="s">
        <v>589</v>
      </c>
      <c r="M158" s="327"/>
      <c r="N158" s="60"/>
      <c r="O158" s="60"/>
      <c r="P158" s="172">
        <f t="shared" si="13"/>
        <v>11400</v>
      </c>
      <c r="Q158" s="172">
        <f t="shared" si="14"/>
        <v>4500</v>
      </c>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c r="AQ158" s="60"/>
      <c r="AR158" s="60"/>
      <c r="AS158" s="60"/>
      <c r="AT158" s="60"/>
      <c r="AU158" s="60"/>
      <c r="AV158" s="60"/>
      <c r="AW158" s="60"/>
      <c r="AX158" s="60"/>
      <c r="AY158" s="60"/>
      <c r="AZ158" s="60"/>
      <c r="BA158" s="60"/>
      <c r="BB158" s="60"/>
      <c r="BC158" s="60"/>
      <c r="BD158" s="60"/>
      <c r="BE158" s="60"/>
      <c r="BF158" s="60"/>
      <c r="BG158" s="60"/>
      <c r="BH158" s="60"/>
      <c r="BI158" s="60"/>
      <c r="BJ158" s="60"/>
      <c r="BK158" s="60"/>
      <c r="BL158" s="60"/>
      <c r="BM158" s="60"/>
      <c r="BN158" s="60"/>
      <c r="BO158" s="60"/>
      <c r="BP158" s="60"/>
      <c r="BQ158" s="60"/>
      <c r="BR158" s="60"/>
      <c r="BS158" s="60"/>
      <c r="BT158" s="60"/>
      <c r="BU158" s="60"/>
      <c r="BV158" s="60"/>
      <c r="BW158" s="60"/>
      <c r="BX158" s="60"/>
      <c r="BY158" s="60"/>
      <c r="BZ158" s="60"/>
      <c r="CA158" s="60"/>
      <c r="CB158" s="60"/>
      <c r="CC158" s="60"/>
      <c r="CD158" s="60"/>
      <c r="CE158" s="60"/>
      <c r="CF158" s="60"/>
      <c r="CG158" s="60"/>
      <c r="CH158" s="60"/>
      <c r="CI158" s="60"/>
      <c r="CJ158" s="60"/>
      <c r="CK158" s="60"/>
      <c r="CL158" s="60"/>
      <c r="CM158" s="60"/>
      <c r="CN158" s="60"/>
      <c r="CO158" s="60"/>
      <c r="CP158" s="60"/>
      <c r="CQ158" s="60"/>
      <c r="CR158" s="60"/>
      <c r="CS158" s="60"/>
      <c r="CT158" s="60"/>
      <c r="CU158" s="60"/>
      <c r="CV158" s="60"/>
      <c r="CW158" s="60"/>
      <c r="CX158" s="60"/>
      <c r="CY158" s="60"/>
      <c r="CZ158" s="60"/>
      <c r="DA158" s="60"/>
      <c r="DB158" s="60"/>
      <c r="DC158" s="60"/>
      <c r="DD158" s="60"/>
      <c r="DE158" s="60"/>
      <c r="DF158" s="60"/>
      <c r="DG158" s="60"/>
      <c r="DH158" s="60"/>
      <c r="DI158" s="60"/>
      <c r="DJ158" s="60"/>
      <c r="DK158" s="60"/>
      <c r="DL158" s="60"/>
      <c r="DM158" s="60"/>
      <c r="DN158" s="60"/>
      <c r="DO158" s="60"/>
      <c r="DP158" s="60"/>
      <c r="DQ158" s="60"/>
      <c r="DR158" s="60"/>
      <c r="DS158" s="60"/>
      <c r="DT158" s="60"/>
      <c r="DU158" s="60"/>
      <c r="DV158" s="60"/>
      <c r="DW158" s="60"/>
      <c r="DX158" s="60"/>
      <c r="DY158" s="60"/>
      <c r="DZ158" s="60"/>
      <c r="EA158" s="60"/>
      <c r="EB158" s="60"/>
      <c r="EC158" s="60"/>
      <c r="ED158" s="60"/>
      <c r="EE158" s="60"/>
      <c r="EF158" s="60"/>
      <c r="EG158" s="60"/>
      <c r="EH158" s="60"/>
      <c r="EI158" s="60"/>
      <c r="EJ158" s="60"/>
      <c r="EK158" s="60"/>
      <c r="EL158" s="60"/>
      <c r="EM158" s="60"/>
      <c r="EN158" s="60"/>
      <c r="EO158" s="60"/>
      <c r="EP158" s="60"/>
      <c r="EQ158" s="60"/>
      <c r="ER158" s="60"/>
      <c r="ES158" s="60"/>
      <c r="ET158" s="60"/>
      <c r="EU158" s="60"/>
      <c r="EV158" s="60"/>
      <c r="EW158" s="60"/>
      <c r="EX158" s="60"/>
      <c r="EY158" s="60"/>
      <c r="EZ158" s="60"/>
      <c r="FA158" s="60"/>
      <c r="FB158" s="60"/>
      <c r="FC158" s="60"/>
      <c r="FD158" s="60"/>
      <c r="FE158" s="60"/>
      <c r="FF158" s="60"/>
      <c r="FG158" s="60"/>
      <c r="FH158" s="60"/>
      <c r="FI158" s="60"/>
      <c r="FJ158" s="60"/>
      <c r="FK158" s="60"/>
      <c r="FL158" s="60"/>
      <c r="FM158" s="60"/>
      <c r="FN158" s="60"/>
      <c r="FO158" s="60"/>
      <c r="FP158" s="60"/>
      <c r="FQ158" s="60"/>
      <c r="FR158" s="60"/>
      <c r="FS158" s="60"/>
      <c r="FT158" s="60"/>
      <c r="FU158" s="60"/>
      <c r="FV158" s="60"/>
      <c r="FW158" s="60"/>
      <c r="FX158" s="60"/>
      <c r="FY158" s="60"/>
      <c r="FZ158" s="60"/>
      <c r="GA158" s="60"/>
      <c r="GB158" s="60"/>
      <c r="GC158" s="60"/>
      <c r="GD158" s="60"/>
      <c r="GE158" s="60"/>
      <c r="GF158" s="60"/>
      <c r="GG158" s="60"/>
      <c r="GH158" s="60"/>
      <c r="GI158" s="60"/>
      <c r="GJ158" s="60"/>
      <c r="GK158" s="60"/>
      <c r="GL158" s="60"/>
      <c r="GM158" s="60"/>
      <c r="GN158" s="60"/>
      <c r="GO158" s="60"/>
      <c r="GP158" s="60"/>
      <c r="GQ158" s="60"/>
      <c r="GR158" s="60"/>
      <c r="GS158" s="60"/>
      <c r="GT158" s="60"/>
      <c r="GU158" s="60"/>
      <c r="GV158" s="60"/>
      <c r="GW158" s="60"/>
      <c r="GX158" s="60"/>
      <c r="GY158" s="60"/>
      <c r="GZ158" s="60"/>
      <c r="HA158" s="60"/>
      <c r="HB158" s="60"/>
      <c r="HC158" s="60"/>
      <c r="HD158" s="60"/>
      <c r="HE158" s="60"/>
      <c r="HF158" s="60"/>
      <c r="HG158" s="60"/>
      <c r="HH158" s="60"/>
      <c r="HI158" s="60"/>
      <c r="HJ158" s="60"/>
      <c r="HK158" s="60"/>
      <c r="HL158" s="60"/>
      <c r="HM158" s="60"/>
      <c r="HN158" s="60"/>
      <c r="HO158" s="60"/>
      <c r="HP158" s="60"/>
      <c r="HQ158" s="60"/>
      <c r="HR158" s="60"/>
      <c r="HS158" s="60"/>
      <c r="HT158" s="60"/>
      <c r="HU158" s="60"/>
      <c r="HV158" s="60"/>
      <c r="HW158" s="60"/>
    </row>
    <row r="159" spans="1:231" s="12" customFormat="1" ht="47.25">
      <c r="A159" s="10">
        <v>2</v>
      </c>
      <c r="B159" s="7" t="s">
        <v>75</v>
      </c>
      <c r="C159" s="4" t="s">
        <v>355</v>
      </c>
      <c r="D159" s="170">
        <v>2015</v>
      </c>
      <c r="E159" s="170">
        <v>2018</v>
      </c>
      <c r="F159" s="328" t="s">
        <v>85</v>
      </c>
      <c r="G159" s="324">
        <v>6339</v>
      </c>
      <c r="H159" s="324">
        <v>6339</v>
      </c>
      <c r="I159" s="324">
        <v>3500</v>
      </c>
      <c r="J159" s="324">
        <v>3500</v>
      </c>
      <c r="K159" s="325">
        <v>1500</v>
      </c>
      <c r="L159" s="326" t="s">
        <v>591</v>
      </c>
      <c r="M159" s="327"/>
      <c r="N159" s="60"/>
      <c r="O159" s="60"/>
      <c r="P159" s="172">
        <f t="shared" si="13"/>
        <v>5000</v>
      </c>
      <c r="Q159" s="172">
        <f t="shared" si="14"/>
        <v>5000</v>
      </c>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c r="AQ159" s="60"/>
      <c r="AR159" s="60"/>
      <c r="AS159" s="60"/>
      <c r="AT159" s="60"/>
      <c r="AU159" s="60"/>
      <c r="AV159" s="60"/>
      <c r="AW159" s="60"/>
      <c r="AX159" s="60"/>
      <c r="AY159" s="60"/>
      <c r="AZ159" s="60"/>
      <c r="BA159" s="60"/>
      <c r="BB159" s="60"/>
      <c r="BC159" s="60"/>
      <c r="BD159" s="60"/>
      <c r="BE159" s="60"/>
      <c r="BF159" s="60"/>
      <c r="BG159" s="60"/>
      <c r="BH159" s="60"/>
      <c r="BI159" s="60"/>
      <c r="BJ159" s="60"/>
      <c r="BK159" s="60"/>
      <c r="BL159" s="60"/>
      <c r="BM159" s="60"/>
      <c r="BN159" s="60"/>
      <c r="BO159" s="60"/>
      <c r="BP159" s="60"/>
      <c r="BQ159" s="60"/>
      <c r="BR159" s="60"/>
      <c r="BS159" s="60"/>
      <c r="BT159" s="60"/>
      <c r="BU159" s="60"/>
      <c r="BV159" s="60"/>
      <c r="BW159" s="60"/>
      <c r="BX159" s="60"/>
      <c r="BY159" s="60"/>
      <c r="BZ159" s="60"/>
      <c r="CA159" s="60"/>
      <c r="CB159" s="60"/>
      <c r="CC159" s="60"/>
      <c r="CD159" s="60"/>
      <c r="CE159" s="60"/>
      <c r="CF159" s="60"/>
      <c r="CG159" s="60"/>
      <c r="CH159" s="60"/>
      <c r="CI159" s="60"/>
      <c r="CJ159" s="60"/>
      <c r="CK159" s="60"/>
      <c r="CL159" s="60"/>
      <c r="CM159" s="60"/>
      <c r="CN159" s="60"/>
      <c r="CO159" s="60"/>
      <c r="CP159" s="60"/>
      <c r="CQ159" s="60"/>
      <c r="CR159" s="60"/>
      <c r="CS159" s="60"/>
      <c r="CT159" s="60"/>
      <c r="CU159" s="60"/>
      <c r="CV159" s="60"/>
      <c r="CW159" s="60"/>
      <c r="CX159" s="60"/>
      <c r="CY159" s="60"/>
      <c r="CZ159" s="60"/>
      <c r="DA159" s="60"/>
      <c r="DB159" s="60"/>
      <c r="DC159" s="60"/>
      <c r="DD159" s="60"/>
      <c r="DE159" s="60"/>
      <c r="DF159" s="60"/>
      <c r="DG159" s="60"/>
      <c r="DH159" s="60"/>
      <c r="DI159" s="60"/>
      <c r="DJ159" s="60"/>
      <c r="DK159" s="60"/>
      <c r="DL159" s="60"/>
      <c r="DM159" s="60"/>
      <c r="DN159" s="60"/>
      <c r="DO159" s="60"/>
      <c r="DP159" s="60"/>
      <c r="DQ159" s="60"/>
      <c r="DR159" s="60"/>
      <c r="DS159" s="60"/>
      <c r="DT159" s="60"/>
      <c r="DU159" s="60"/>
      <c r="DV159" s="60"/>
      <c r="DW159" s="60"/>
      <c r="DX159" s="60"/>
      <c r="DY159" s="60"/>
      <c r="DZ159" s="60"/>
      <c r="EA159" s="60"/>
      <c r="EB159" s="60"/>
      <c r="EC159" s="60"/>
      <c r="ED159" s="60"/>
      <c r="EE159" s="60"/>
      <c r="EF159" s="60"/>
      <c r="EG159" s="60"/>
      <c r="EH159" s="60"/>
      <c r="EI159" s="60"/>
      <c r="EJ159" s="60"/>
      <c r="EK159" s="60"/>
      <c r="EL159" s="60"/>
      <c r="EM159" s="60"/>
      <c r="EN159" s="60"/>
      <c r="EO159" s="60"/>
      <c r="EP159" s="60"/>
      <c r="EQ159" s="60"/>
      <c r="ER159" s="60"/>
      <c r="ES159" s="60"/>
      <c r="ET159" s="60"/>
      <c r="EU159" s="60"/>
      <c r="EV159" s="60"/>
      <c r="EW159" s="60"/>
      <c r="EX159" s="60"/>
      <c r="EY159" s="60"/>
      <c r="EZ159" s="60"/>
      <c r="FA159" s="60"/>
      <c r="FB159" s="60"/>
      <c r="FC159" s="60"/>
      <c r="FD159" s="60"/>
      <c r="FE159" s="60"/>
      <c r="FF159" s="60"/>
      <c r="FG159" s="60"/>
      <c r="FH159" s="60"/>
      <c r="FI159" s="60"/>
      <c r="FJ159" s="60"/>
      <c r="FK159" s="60"/>
      <c r="FL159" s="60"/>
      <c r="FM159" s="60"/>
      <c r="FN159" s="60"/>
      <c r="FO159" s="60"/>
      <c r="FP159" s="60"/>
      <c r="FQ159" s="60"/>
      <c r="FR159" s="60"/>
      <c r="FS159" s="60"/>
      <c r="FT159" s="60"/>
      <c r="FU159" s="60"/>
      <c r="FV159" s="60"/>
      <c r="FW159" s="60"/>
      <c r="FX159" s="60"/>
      <c r="FY159" s="60"/>
      <c r="FZ159" s="60"/>
      <c r="GA159" s="60"/>
      <c r="GB159" s="60"/>
      <c r="GC159" s="60"/>
      <c r="GD159" s="60"/>
      <c r="GE159" s="60"/>
      <c r="GF159" s="60"/>
      <c r="GG159" s="60"/>
      <c r="GH159" s="60"/>
      <c r="GI159" s="60"/>
      <c r="GJ159" s="60"/>
      <c r="GK159" s="60"/>
      <c r="GL159" s="60"/>
      <c r="GM159" s="60"/>
      <c r="GN159" s="60"/>
      <c r="GO159" s="60"/>
      <c r="GP159" s="60"/>
      <c r="GQ159" s="60"/>
      <c r="GR159" s="60"/>
      <c r="GS159" s="60"/>
      <c r="GT159" s="60"/>
      <c r="GU159" s="60"/>
      <c r="GV159" s="60"/>
      <c r="GW159" s="60"/>
      <c r="GX159" s="60"/>
      <c r="GY159" s="60"/>
      <c r="GZ159" s="60"/>
      <c r="HA159" s="60"/>
      <c r="HB159" s="60"/>
      <c r="HC159" s="60"/>
      <c r="HD159" s="60"/>
      <c r="HE159" s="60"/>
      <c r="HF159" s="60"/>
      <c r="HG159" s="60"/>
      <c r="HH159" s="60"/>
      <c r="HI159" s="60"/>
      <c r="HJ159" s="60"/>
      <c r="HK159" s="60"/>
      <c r="HL159" s="60"/>
      <c r="HM159" s="60"/>
      <c r="HN159" s="60"/>
      <c r="HO159" s="60"/>
      <c r="HP159" s="60"/>
      <c r="HQ159" s="60"/>
      <c r="HR159" s="60"/>
      <c r="HS159" s="60"/>
      <c r="HT159" s="60"/>
      <c r="HU159" s="60"/>
      <c r="HV159" s="60"/>
      <c r="HW159" s="60"/>
    </row>
    <row r="160" spans="1:231" s="12" customFormat="1" ht="31.5">
      <c r="A160" s="10">
        <v>3</v>
      </c>
      <c r="B160" s="5" t="s">
        <v>1643</v>
      </c>
      <c r="C160" s="270" t="s">
        <v>17</v>
      </c>
      <c r="D160" s="170">
        <v>2010</v>
      </c>
      <c r="E160" s="170">
        <v>2018</v>
      </c>
      <c r="F160" s="322" t="s">
        <v>76</v>
      </c>
      <c r="G160" s="323">
        <v>122095</v>
      </c>
      <c r="H160" s="324">
        <v>69246</v>
      </c>
      <c r="I160" s="323">
        <v>76113</v>
      </c>
      <c r="J160" s="324">
        <v>49600</v>
      </c>
      <c r="K160" s="325">
        <v>6000</v>
      </c>
      <c r="L160" s="326" t="s">
        <v>588</v>
      </c>
      <c r="M160" s="327"/>
      <c r="N160" s="60"/>
      <c r="O160" s="60"/>
      <c r="P160" s="172">
        <f t="shared" si="13"/>
        <v>82113</v>
      </c>
      <c r="Q160" s="172">
        <f t="shared" si="14"/>
        <v>55600</v>
      </c>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c r="AU160" s="60"/>
      <c r="AV160" s="60"/>
      <c r="AW160" s="60"/>
      <c r="AX160" s="60"/>
      <c r="AY160" s="60"/>
      <c r="AZ160" s="60"/>
      <c r="BA160" s="60"/>
      <c r="BB160" s="60"/>
      <c r="BC160" s="60"/>
      <c r="BD160" s="60"/>
      <c r="BE160" s="60"/>
      <c r="BF160" s="60"/>
      <c r="BG160" s="60"/>
      <c r="BH160" s="60"/>
      <c r="BI160" s="60"/>
      <c r="BJ160" s="60"/>
      <c r="BK160" s="60"/>
      <c r="BL160" s="60"/>
      <c r="BM160" s="60"/>
      <c r="BN160" s="60"/>
      <c r="BO160" s="60"/>
      <c r="BP160" s="60"/>
      <c r="BQ160" s="60"/>
      <c r="BR160" s="60"/>
      <c r="BS160" s="60"/>
      <c r="BT160" s="60"/>
      <c r="BU160" s="60"/>
      <c r="BV160" s="60"/>
      <c r="BW160" s="60"/>
      <c r="BX160" s="60"/>
      <c r="BY160" s="60"/>
      <c r="BZ160" s="60"/>
      <c r="CA160" s="60"/>
      <c r="CB160" s="60"/>
      <c r="CC160" s="60"/>
      <c r="CD160" s="60"/>
      <c r="CE160" s="60"/>
      <c r="CF160" s="60"/>
      <c r="CG160" s="60"/>
      <c r="CH160" s="60"/>
      <c r="CI160" s="60"/>
      <c r="CJ160" s="60"/>
      <c r="CK160" s="60"/>
      <c r="CL160" s="60"/>
      <c r="CM160" s="60"/>
      <c r="CN160" s="60"/>
      <c r="CO160" s="60"/>
      <c r="CP160" s="60"/>
      <c r="CQ160" s="60"/>
      <c r="CR160" s="60"/>
      <c r="CS160" s="60"/>
      <c r="CT160" s="60"/>
      <c r="CU160" s="60"/>
      <c r="CV160" s="60"/>
      <c r="CW160" s="60"/>
      <c r="CX160" s="60"/>
      <c r="CY160" s="60"/>
      <c r="CZ160" s="60"/>
      <c r="DA160" s="60"/>
      <c r="DB160" s="60"/>
      <c r="DC160" s="60"/>
      <c r="DD160" s="60"/>
      <c r="DE160" s="60"/>
      <c r="DF160" s="60"/>
      <c r="DG160" s="60"/>
      <c r="DH160" s="60"/>
      <c r="DI160" s="60"/>
      <c r="DJ160" s="60"/>
      <c r="DK160" s="60"/>
      <c r="DL160" s="60"/>
      <c r="DM160" s="60"/>
      <c r="DN160" s="60"/>
      <c r="DO160" s="60"/>
      <c r="DP160" s="60"/>
      <c r="DQ160" s="60"/>
      <c r="DR160" s="60"/>
      <c r="DS160" s="60"/>
      <c r="DT160" s="60"/>
      <c r="DU160" s="60"/>
      <c r="DV160" s="60"/>
      <c r="DW160" s="60"/>
      <c r="DX160" s="60"/>
      <c r="DY160" s="60"/>
      <c r="DZ160" s="60"/>
      <c r="EA160" s="60"/>
      <c r="EB160" s="60"/>
      <c r="EC160" s="60"/>
      <c r="ED160" s="60"/>
      <c r="EE160" s="60"/>
      <c r="EF160" s="60"/>
      <c r="EG160" s="60"/>
      <c r="EH160" s="60"/>
      <c r="EI160" s="60"/>
      <c r="EJ160" s="60"/>
      <c r="EK160" s="60"/>
      <c r="EL160" s="60"/>
      <c r="EM160" s="60"/>
      <c r="EN160" s="60"/>
      <c r="EO160" s="60"/>
      <c r="EP160" s="60"/>
      <c r="EQ160" s="60"/>
      <c r="ER160" s="60"/>
      <c r="ES160" s="60"/>
      <c r="ET160" s="60"/>
      <c r="EU160" s="60"/>
      <c r="EV160" s="60"/>
      <c r="EW160" s="60"/>
      <c r="EX160" s="60"/>
      <c r="EY160" s="60"/>
      <c r="EZ160" s="60"/>
      <c r="FA160" s="60"/>
      <c r="FB160" s="60"/>
      <c r="FC160" s="60"/>
      <c r="FD160" s="60"/>
      <c r="FE160" s="60"/>
      <c r="FF160" s="60"/>
      <c r="FG160" s="60"/>
      <c r="FH160" s="60"/>
      <c r="FI160" s="60"/>
      <c r="FJ160" s="60"/>
      <c r="FK160" s="60"/>
      <c r="FL160" s="60"/>
      <c r="FM160" s="60"/>
      <c r="FN160" s="60"/>
      <c r="FO160" s="60"/>
      <c r="FP160" s="60"/>
      <c r="FQ160" s="60"/>
      <c r="FR160" s="60"/>
      <c r="FS160" s="60"/>
      <c r="FT160" s="60"/>
      <c r="FU160" s="60"/>
      <c r="FV160" s="60"/>
      <c r="FW160" s="60"/>
      <c r="FX160" s="60"/>
      <c r="FY160" s="60"/>
      <c r="FZ160" s="60"/>
      <c r="GA160" s="60"/>
      <c r="GB160" s="60"/>
      <c r="GC160" s="60"/>
      <c r="GD160" s="60"/>
      <c r="GE160" s="60"/>
      <c r="GF160" s="60"/>
      <c r="GG160" s="60"/>
      <c r="GH160" s="60"/>
      <c r="GI160" s="60"/>
      <c r="GJ160" s="60"/>
      <c r="GK160" s="60"/>
      <c r="GL160" s="60"/>
      <c r="GM160" s="60"/>
      <c r="GN160" s="60"/>
      <c r="GO160" s="60"/>
      <c r="GP160" s="60"/>
      <c r="GQ160" s="60"/>
      <c r="GR160" s="60"/>
      <c r="GS160" s="60"/>
      <c r="GT160" s="60"/>
      <c r="GU160" s="60"/>
      <c r="GV160" s="60"/>
      <c r="GW160" s="60"/>
      <c r="GX160" s="60"/>
      <c r="GY160" s="60"/>
      <c r="GZ160" s="60"/>
      <c r="HA160" s="60"/>
      <c r="HB160" s="60"/>
      <c r="HC160" s="60"/>
      <c r="HD160" s="60"/>
      <c r="HE160" s="60"/>
      <c r="HF160" s="60"/>
      <c r="HG160" s="60"/>
      <c r="HH160" s="60"/>
      <c r="HI160" s="60"/>
      <c r="HJ160" s="60"/>
      <c r="HK160" s="60"/>
      <c r="HL160" s="60"/>
      <c r="HM160" s="60"/>
      <c r="HN160" s="60"/>
      <c r="HO160" s="60"/>
      <c r="HP160" s="60"/>
      <c r="HQ160" s="60"/>
      <c r="HR160" s="60"/>
      <c r="HS160" s="60"/>
      <c r="HT160" s="60"/>
      <c r="HU160" s="60"/>
      <c r="HV160" s="60"/>
      <c r="HW160" s="60"/>
    </row>
    <row r="161" spans="1:231" s="12" customFormat="1" ht="43.5" customHeight="1">
      <c r="A161" s="10">
        <v>4</v>
      </c>
      <c r="B161" s="5" t="s">
        <v>70</v>
      </c>
      <c r="C161" s="4" t="s">
        <v>355</v>
      </c>
      <c r="D161" s="170">
        <v>2012</v>
      </c>
      <c r="E161" s="170">
        <v>2020</v>
      </c>
      <c r="F161" s="322" t="s">
        <v>77</v>
      </c>
      <c r="G161" s="329">
        <v>30623</v>
      </c>
      <c r="H161" s="324">
        <v>29623</v>
      </c>
      <c r="I161" s="330">
        <v>6900</v>
      </c>
      <c r="J161" s="324">
        <v>5900</v>
      </c>
      <c r="K161" s="325">
        <v>1000</v>
      </c>
      <c r="L161" s="326" t="s">
        <v>591</v>
      </c>
      <c r="M161" s="327"/>
      <c r="N161" s="60"/>
      <c r="O161" s="60"/>
      <c r="P161" s="172">
        <f t="shared" si="13"/>
        <v>7900</v>
      </c>
      <c r="Q161" s="172">
        <f t="shared" si="14"/>
        <v>6900</v>
      </c>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c r="AQ161" s="60"/>
      <c r="AR161" s="60"/>
      <c r="AS161" s="60"/>
      <c r="AT161" s="60"/>
      <c r="AU161" s="60"/>
      <c r="AV161" s="60"/>
      <c r="AW161" s="60"/>
      <c r="AX161" s="60"/>
      <c r="AY161" s="60"/>
      <c r="AZ161" s="60"/>
      <c r="BA161" s="60"/>
      <c r="BB161" s="60"/>
      <c r="BC161" s="60"/>
      <c r="BD161" s="60"/>
      <c r="BE161" s="60"/>
      <c r="BF161" s="60"/>
      <c r="BG161" s="60"/>
      <c r="BH161" s="60"/>
      <c r="BI161" s="60"/>
      <c r="BJ161" s="60"/>
      <c r="BK161" s="60"/>
      <c r="BL161" s="60"/>
      <c r="BM161" s="60"/>
      <c r="BN161" s="60"/>
      <c r="BO161" s="60"/>
      <c r="BP161" s="60"/>
      <c r="BQ161" s="60"/>
      <c r="BR161" s="60"/>
      <c r="BS161" s="60"/>
      <c r="BT161" s="60"/>
      <c r="BU161" s="60"/>
      <c r="BV161" s="60"/>
      <c r="BW161" s="60"/>
      <c r="BX161" s="60"/>
      <c r="BY161" s="60"/>
      <c r="BZ161" s="60"/>
      <c r="CA161" s="60"/>
      <c r="CB161" s="60"/>
      <c r="CC161" s="60"/>
      <c r="CD161" s="60"/>
      <c r="CE161" s="60"/>
      <c r="CF161" s="60"/>
      <c r="CG161" s="60"/>
      <c r="CH161" s="60"/>
      <c r="CI161" s="60"/>
      <c r="CJ161" s="60"/>
      <c r="CK161" s="60"/>
      <c r="CL161" s="60"/>
      <c r="CM161" s="60"/>
      <c r="CN161" s="60"/>
      <c r="CO161" s="60"/>
      <c r="CP161" s="60"/>
      <c r="CQ161" s="60"/>
      <c r="CR161" s="60"/>
      <c r="CS161" s="60"/>
      <c r="CT161" s="60"/>
      <c r="CU161" s="60"/>
      <c r="CV161" s="60"/>
      <c r="CW161" s="60"/>
      <c r="CX161" s="60"/>
      <c r="CY161" s="60"/>
      <c r="CZ161" s="60"/>
      <c r="DA161" s="60"/>
      <c r="DB161" s="60"/>
      <c r="DC161" s="60"/>
      <c r="DD161" s="60"/>
      <c r="DE161" s="60"/>
      <c r="DF161" s="60"/>
      <c r="DG161" s="60"/>
      <c r="DH161" s="60"/>
      <c r="DI161" s="60"/>
      <c r="DJ161" s="60"/>
      <c r="DK161" s="60"/>
      <c r="DL161" s="60"/>
      <c r="DM161" s="60"/>
      <c r="DN161" s="60"/>
      <c r="DO161" s="60"/>
      <c r="DP161" s="60"/>
      <c r="DQ161" s="60"/>
      <c r="DR161" s="60"/>
      <c r="DS161" s="60"/>
      <c r="DT161" s="60"/>
      <c r="DU161" s="60"/>
      <c r="DV161" s="60"/>
      <c r="DW161" s="60"/>
      <c r="DX161" s="60"/>
      <c r="DY161" s="60"/>
      <c r="DZ161" s="60"/>
      <c r="EA161" s="60"/>
      <c r="EB161" s="60"/>
      <c r="EC161" s="60"/>
      <c r="ED161" s="60"/>
      <c r="EE161" s="60"/>
      <c r="EF161" s="60"/>
      <c r="EG161" s="60"/>
      <c r="EH161" s="60"/>
      <c r="EI161" s="60"/>
      <c r="EJ161" s="60"/>
      <c r="EK161" s="60"/>
      <c r="EL161" s="60"/>
      <c r="EM161" s="60"/>
      <c r="EN161" s="60"/>
      <c r="EO161" s="60"/>
      <c r="EP161" s="60"/>
      <c r="EQ161" s="60"/>
      <c r="ER161" s="60"/>
      <c r="ES161" s="60"/>
      <c r="ET161" s="60"/>
      <c r="EU161" s="60"/>
      <c r="EV161" s="60"/>
      <c r="EW161" s="60"/>
      <c r="EX161" s="60"/>
      <c r="EY161" s="60"/>
      <c r="EZ161" s="60"/>
      <c r="FA161" s="60"/>
      <c r="FB161" s="60"/>
      <c r="FC161" s="60"/>
      <c r="FD161" s="60"/>
      <c r="FE161" s="60"/>
      <c r="FF161" s="60"/>
      <c r="FG161" s="60"/>
      <c r="FH161" s="60"/>
      <c r="FI161" s="60"/>
      <c r="FJ161" s="60"/>
      <c r="FK161" s="60"/>
      <c r="FL161" s="60"/>
      <c r="FM161" s="60"/>
      <c r="FN161" s="60"/>
      <c r="FO161" s="60"/>
      <c r="FP161" s="60"/>
      <c r="FQ161" s="60"/>
      <c r="FR161" s="60"/>
      <c r="FS161" s="60"/>
      <c r="FT161" s="60"/>
      <c r="FU161" s="60"/>
      <c r="FV161" s="60"/>
      <c r="FW161" s="60"/>
      <c r="FX161" s="60"/>
      <c r="FY161" s="60"/>
      <c r="FZ161" s="60"/>
      <c r="GA161" s="60"/>
      <c r="GB161" s="60"/>
      <c r="GC161" s="60"/>
      <c r="GD161" s="60"/>
      <c r="GE161" s="60"/>
      <c r="GF161" s="60"/>
      <c r="GG161" s="60"/>
      <c r="GH161" s="60"/>
      <c r="GI161" s="60"/>
      <c r="GJ161" s="60"/>
      <c r="GK161" s="60"/>
      <c r="GL161" s="60"/>
      <c r="GM161" s="60"/>
      <c r="GN161" s="60"/>
      <c r="GO161" s="60"/>
      <c r="GP161" s="60"/>
      <c r="GQ161" s="60"/>
      <c r="GR161" s="60"/>
      <c r="GS161" s="60"/>
      <c r="GT161" s="60"/>
      <c r="GU161" s="60"/>
      <c r="GV161" s="60"/>
      <c r="GW161" s="60"/>
      <c r="GX161" s="60"/>
      <c r="GY161" s="60"/>
      <c r="GZ161" s="60"/>
      <c r="HA161" s="60"/>
      <c r="HB161" s="60"/>
      <c r="HC161" s="60"/>
      <c r="HD161" s="60"/>
      <c r="HE161" s="60"/>
      <c r="HF161" s="60"/>
      <c r="HG161" s="60"/>
      <c r="HH161" s="60"/>
      <c r="HI161" s="60"/>
      <c r="HJ161" s="60"/>
      <c r="HK161" s="60"/>
      <c r="HL161" s="60"/>
      <c r="HM161" s="60"/>
      <c r="HN161" s="60"/>
      <c r="HO161" s="60"/>
      <c r="HP161" s="60"/>
      <c r="HQ161" s="60"/>
      <c r="HR161" s="60"/>
      <c r="HS161" s="60"/>
      <c r="HT161" s="60"/>
      <c r="HU161" s="60"/>
      <c r="HV161" s="60"/>
      <c r="HW161" s="60"/>
    </row>
    <row r="162" spans="1:231" s="12" customFormat="1" ht="31.5">
      <c r="A162" s="10">
        <v>5</v>
      </c>
      <c r="B162" s="6" t="s">
        <v>73</v>
      </c>
      <c r="C162" s="4" t="s">
        <v>355</v>
      </c>
      <c r="D162" s="170">
        <v>2016</v>
      </c>
      <c r="E162" s="170">
        <v>2020</v>
      </c>
      <c r="F162" s="328" t="s">
        <v>83</v>
      </c>
      <c r="G162" s="324">
        <v>14404</v>
      </c>
      <c r="H162" s="324">
        <v>14404</v>
      </c>
      <c r="I162" s="324">
        <v>5800</v>
      </c>
      <c r="J162" s="324">
        <v>5800</v>
      </c>
      <c r="K162" s="325">
        <v>1500</v>
      </c>
      <c r="L162" s="326" t="s">
        <v>591</v>
      </c>
      <c r="M162" s="327"/>
      <c r="N162" s="60"/>
      <c r="O162" s="60"/>
      <c r="P162" s="172">
        <f t="shared" si="13"/>
        <v>7300</v>
      </c>
      <c r="Q162" s="172">
        <f t="shared" si="14"/>
        <v>7300</v>
      </c>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c r="AQ162" s="60"/>
      <c r="AR162" s="60"/>
      <c r="AS162" s="60"/>
      <c r="AT162" s="60"/>
      <c r="AU162" s="60"/>
      <c r="AV162" s="60"/>
      <c r="AW162" s="60"/>
      <c r="AX162" s="60"/>
      <c r="AY162" s="60"/>
      <c r="AZ162" s="60"/>
      <c r="BA162" s="60"/>
      <c r="BB162" s="60"/>
      <c r="BC162" s="60"/>
      <c r="BD162" s="60"/>
      <c r="BE162" s="60"/>
      <c r="BF162" s="60"/>
      <c r="BG162" s="60"/>
      <c r="BH162" s="60"/>
      <c r="BI162" s="60"/>
      <c r="BJ162" s="60"/>
      <c r="BK162" s="60"/>
      <c r="BL162" s="60"/>
      <c r="BM162" s="60"/>
      <c r="BN162" s="60"/>
      <c r="BO162" s="60"/>
      <c r="BP162" s="60"/>
      <c r="BQ162" s="60"/>
      <c r="BR162" s="60"/>
      <c r="BS162" s="60"/>
      <c r="BT162" s="60"/>
      <c r="BU162" s="60"/>
      <c r="BV162" s="60"/>
      <c r="BW162" s="60"/>
      <c r="BX162" s="60"/>
      <c r="BY162" s="60"/>
      <c r="BZ162" s="60"/>
      <c r="CA162" s="60"/>
      <c r="CB162" s="60"/>
      <c r="CC162" s="60"/>
      <c r="CD162" s="60"/>
      <c r="CE162" s="60"/>
      <c r="CF162" s="60"/>
      <c r="CG162" s="60"/>
      <c r="CH162" s="60"/>
      <c r="CI162" s="60"/>
      <c r="CJ162" s="60"/>
      <c r="CK162" s="60"/>
      <c r="CL162" s="60"/>
      <c r="CM162" s="60"/>
      <c r="CN162" s="60"/>
      <c r="CO162" s="60"/>
      <c r="CP162" s="60"/>
      <c r="CQ162" s="60"/>
      <c r="CR162" s="60"/>
      <c r="CS162" s="60"/>
      <c r="CT162" s="60"/>
      <c r="CU162" s="60"/>
      <c r="CV162" s="60"/>
      <c r="CW162" s="60"/>
      <c r="CX162" s="60"/>
      <c r="CY162" s="60"/>
      <c r="CZ162" s="60"/>
      <c r="DA162" s="60"/>
      <c r="DB162" s="60"/>
      <c r="DC162" s="60"/>
      <c r="DD162" s="60"/>
      <c r="DE162" s="60"/>
      <c r="DF162" s="60"/>
      <c r="DG162" s="60"/>
      <c r="DH162" s="60"/>
      <c r="DI162" s="60"/>
      <c r="DJ162" s="60"/>
      <c r="DK162" s="60"/>
      <c r="DL162" s="60"/>
      <c r="DM162" s="60"/>
      <c r="DN162" s="60"/>
      <c r="DO162" s="60"/>
      <c r="DP162" s="60"/>
      <c r="DQ162" s="60"/>
      <c r="DR162" s="60"/>
      <c r="DS162" s="60"/>
      <c r="DT162" s="60"/>
      <c r="DU162" s="60"/>
      <c r="DV162" s="60"/>
      <c r="DW162" s="60"/>
      <c r="DX162" s="60"/>
      <c r="DY162" s="60"/>
      <c r="DZ162" s="60"/>
      <c r="EA162" s="60"/>
      <c r="EB162" s="60"/>
      <c r="EC162" s="60"/>
      <c r="ED162" s="60"/>
      <c r="EE162" s="60"/>
      <c r="EF162" s="60"/>
      <c r="EG162" s="60"/>
      <c r="EH162" s="60"/>
      <c r="EI162" s="60"/>
      <c r="EJ162" s="60"/>
      <c r="EK162" s="60"/>
      <c r="EL162" s="60"/>
      <c r="EM162" s="60"/>
      <c r="EN162" s="60"/>
      <c r="EO162" s="60"/>
      <c r="EP162" s="60"/>
      <c r="EQ162" s="60"/>
      <c r="ER162" s="60"/>
      <c r="ES162" s="60"/>
      <c r="ET162" s="60"/>
      <c r="EU162" s="60"/>
      <c r="EV162" s="60"/>
      <c r="EW162" s="60"/>
      <c r="EX162" s="60"/>
      <c r="EY162" s="60"/>
      <c r="EZ162" s="60"/>
      <c r="FA162" s="60"/>
      <c r="FB162" s="60"/>
      <c r="FC162" s="60"/>
      <c r="FD162" s="60"/>
      <c r="FE162" s="60"/>
      <c r="FF162" s="60"/>
      <c r="FG162" s="60"/>
      <c r="FH162" s="60"/>
      <c r="FI162" s="60"/>
      <c r="FJ162" s="60"/>
      <c r="FK162" s="60"/>
      <c r="FL162" s="60"/>
      <c r="FM162" s="60"/>
      <c r="FN162" s="60"/>
      <c r="FO162" s="60"/>
      <c r="FP162" s="60"/>
      <c r="FQ162" s="60"/>
      <c r="FR162" s="60"/>
      <c r="FS162" s="60"/>
      <c r="FT162" s="60"/>
      <c r="FU162" s="60"/>
      <c r="FV162" s="60"/>
      <c r="FW162" s="60"/>
      <c r="FX162" s="60"/>
      <c r="FY162" s="60"/>
      <c r="FZ162" s="60"/>
      <c r="GA162" s="60"/>
      <c r="GB162" s="60"/>
      <c r="GC162" s="60"/>
      <c r="GD162" s="60"/>
      <c r="GE162" s="60"/>
      <c r="GF162" s="60"/>
      <c r="GG162" s="60"/>
      <c r="GH162" s="60"/>
      <c r="GI162" s="60"/>
      <c r="GJ162" s="60"/>
      <c r="GK162" s="60"/>
      <c r="GL162" s="60"/>
      <c r="GM162" s="60"/>
      <c r="GN162" s="60"/>
      <c r="GO162" s="60"/>
      <c r="GP162" s="60"/>
      <c r="GQ162" s="60"/>
      <c r="GR162" s="60"/>
      <c r="GS162" s="60"/>
      <c r="GT162" s="60"/>
      <c r="GU162" s="60"/>
      <c r="GV162" s="60"/>
      <c r="GW162" s="60"/>
      <c r="GX162" s="60"/>
      <c r="GY162" s="60"/>
      <c r="GZ162" s="60"/>
      <c r="HA162" s="60"/>
      <c r="HB162" s="60"/>
      <c r="HC162" s="60"/>
      <c r="HD162" s="60"/>
      <c r="HE162" s="60"/>
      <c r="HF162" s="60"/>
      <c r="HG162" s="60"/>
      <c r="HH162" s="60"/>
      <c r="HI162" s="60"/>
      <c r="HJ162" s="60"/>
      <c r="HK162" s="60"/>
      <c r="HL162" s="60"/>
      <c r="HM162" s="60"/>
      <c r="HN162" s="60"/>
      <c r="HO162" s="60"/>
      <c r="HP162" s="60"/>
      <c r="HQ162" s="60"/>
      <c r="HR162" s="60"/>
      <c r="HS162" s="60"/>
      <c r="HT162" s="60"/>
      <c r="HU162" s="60"/>
      <c r="HV162" s="60"/>
      <c r="HW162" s="60"/>
    </row>
    <row r="163" spans="1:231" s="12" customFormat="1" ht="31.5">
      <c r="A163" s="10">
        <v>6</v>
      </c>
      <c r="B163" s="6" t="s">
        <v>74</v>
      </c>
      <c r="C163" s="4" t="s">
        <v>355</v>
      </c>
      <c r="D163" s="170">
        <v>2016</v>
      </c>
      <c r="E163" s="170">
        <v>2021</v>
      </c>
      <c r="F163" s="328" t="s">
        <v>84</v>
      </c>
      <c r="G163" s="324">
        <v>146500</v>
      </c>
      <c r="H163" s="324">
        <v>10500</v>
      </c>
      <c r="I163" s="324">
        <v>2500</v>
      </c>
      <c r="J163" s="331">
        <v>2500</v>
      </c>
      <c r="K163" s="325">
        <v>1000</v>
      </c>
      <c r="L163" s="326" t="s">
        <v>587</v>
      </c>
      <c r="M163" s="327"/>
      <c r="N163" s="60"/>
      <c r="O163" s="60"/>
      <c r="P163" s="172">
        <f t="shared" si="13"/>
        <v>3500</v>
      </c>
      <c r="Q163" s="172">
        <f t="shared" si="14"/>
        <v>3500</v>
      </c>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c r="AU163" s="60"/>
      <c r="AV163" s="60"/>
      <c r="AW163" s="60"/>
      <c r="AX163" s="60"/>
      <c r="AY163" s="60"/>
      <c r="AZ163" s="60"/>
      <c r="BA163" s="60"/>
      <c r="BB163" s="60"/>
      <c r="BC163" s="60"/>
      <c r="BD163" s="60"/>
      <c r="BE163" s="60"/>
      <c r="BF163" s="60"/>
      <c r="BG163" s="60"/>
      <c r="BH163" s="60"/>
      <c r="BI163" s="60"/>
      <c r="BJ163" s="60"/>
      <c r="BK163" s="60"/>
      <c r="BL163" s="60"/>
      <c r="BM163" s="60"/>
      <c r="BN163" s="60"/>
      <c r="BO163" s="60"/>
      <c r="BP163" s="60"/>
      <c r="BQ163" s="60"/>
      <c r="BR163" s="60"/>
      <c r="BS163" s="60"/>
      <c r="BT163" s="60"/>
      <c r="BU163" s="60"/>
      <c r="BV163" s="60"/>
      <c r="BW163" s="60"/>
      <c r="BX163" s="60"/>
      <c r="BY163" s="60"/>
      <c r="BZ163" s="60"/>
      <c r="CA163" s="60"/>
      <c r="CB163" s="60"/>
      <c r="CC163" s="60"/>
      <c r="CD163" s="60"/>
      <c r="CE163" s="60"/>
      <c r="CF163" s="60"/>
      <c r="CG163" s="60"/>
      <c r="CH163" s="60"/>
      <c r="CI163" s="60"/>
      <c r="CJ163" s="60"/>
      <c r="CK163" s="60"/>
      <c r="CL163" s="60"/>
      <c r="CM163" s="60"/>
      <c r="CN163" s="60"/>
      <c r="CO163" s="60"/>
      <c r="CP163" s="60"/>
      <c r="CQ163" s="60"/>
      <c r="CR163" s="60"/>
      <c r="CS163" s="60"/>
      <c r="CT163" s="60"/>
      <c r="CU163" s="60"/>
      <c r="CV163" s="60"/>
      <c r="CW163" s="60"/>
      <c r="CX163" s="60"/>
      <c r="CY163" s="60"/>
      <c r="CZ163" s="60"/>
      <c r="DA163" s="60"/>
      <c r="DB163" s="60"/>
      <c r="DC163" s="60"/>
      <c r="DD163" s="60"/>
      <c r="DE163" s="60"/>
      <c r="DF163" s="60"/>
      <c r="DG163" s="60"/>
      <c r="DH163" s="60"/>
      <c r="DI163" s="60"/>
      <c r="DJ163" s="60"/>
      <c r="DK163" s="60"/>
      <c r="DL163" s="60"/>
      <c r="DM163" s="60"/>
      <c r="DN163" s="60"/>
      <c r="DO163" s="60"/>
      <c r="DP163" s="60"/>
      <c r="DQ163" s="60"/>
      <c r="DR163" s="60"/>
      <c r="DS163" s="60"/>
      <c r="DT163" s="60"/>
      <c r="DU163" s="60"/>
      <c r="DV163" s="60"/>
      <c r="DW163" s="60"/>
      <c r="DX163" s="60"/>
      <c r="DY163" s="60"/>
      <c r="DZ163" s="60"/>
      <c r="EA163" s="60"/>
      <c r="EB163" s="60"/>
      <c r="EC163" s="60"/>
      <c r="ED163" s="60"/>
      <c r="EE163" s="60"/>
      <c r="EF163" s="60"/>
      <c r="EG163" s="60"/>
      <c r="EH163" s="60"/>
      <c r="EI163" s="60"/>
      <c r="EJ163" s="60"/>
      <c r="EK163" s="60"/>
      <c r="EL163" s="60"/>
      <c r="EM163" s="60"/>
      <c r="EN163" s="60"/>
      <c r="EO163" s="60"/>
      <c r="EP163" s="60"/>
      <c r="EQ163" s="60"/>
      <c r="ER163" s="60"/>
      <c r="ES163" s="60"/>
      <c r="ET163" s="60"/>
      <c r="EU163" s="60"/>
      <c r="EV163" s="60"/>
      <c r="EW163" s="60"/>
      <c r="EX163" s="60"/>
      <c r="EY163" s="60"/>
      <c r="EZ163" s="60"/>
      <c r="FA163" s="60"/>
      <c r="FB163" s="60"/>
      <c r="FC163" s="60"/>
      <c r="FD163" s="60"/>
      <c r="FE163" s="60"/>
      <c r="FF163" s="60"/>
      <c r="FG163" s="60"/>
      <c r="FH163" s="60"/>
      <c r="FI163" s="60"/>
      <c r="FJ163" s="60"/>
      <c r="FK163" s="60"/>
      <c r="FL163" s="60"/>
      <c r="FM163" s="60"/>
      <c r="FN163" s="60"/>
      <c r="FO163" s="60"/>
      <c r="FP163" s="60"/>
      <c r="FQ163" s="60"/>
      <c r="FR163" s="60"/>
      <c r="FS163" s="60"/>
      <c r="FT163" s="60"/>
      <c r="FU163" s="60"/>
      <c r="FV163" s="60"/>
      <c r="FW163" s="60"/>
      <c r="FX163" s="60"/>
      <c r="FY163" s="60"/>
      <c r="FZ163" s="60"/>
      <c r="GA163" s="60"/>
      <c r="GB163" s="60"/>
      <c r="GC163" s="60"/>
      <c r="GD163" s="60"/>
      <c r="GE163" s="60"/>
      <c r="GF163" s="60"/>
      <c r="GG163" s="60"/>
      <c r="GH163" s="60"/>
      <c r="GI163" s="60"/>
      <c r="GJ163" s="60"/>
      <c r="GK163" s="60"/>
      <c r="GL163" s="60"/>
      <c r="GM163" s="60"/>
      <c r="GN163" s="60"/>
      <c r="GO163" s="60"/>
      <c r="GP163" s="60"/>
      <c r="GQ163" s="60"/>
      <c r="GR163" s="60"/>
      <c r="GS163" s="60"/>
      <c r="GT163" s="60"/>
      <c r="GU163" s="60"/>
      <c r="GV163" s="60"/>
      <c r="GW163" s="60"/>
      <c r="GX163" s="60"/>
      <c r="GY163" s="60"/>
      <c r="GZ163" s="60"/>
      <c r="HA163" s="60"/>
      <c r="HB163" s="60"/>
      <c r="HC163" s="60"/>
      <c r="HD163" s="60"/>
      <c r="HE163" s="60"/>
      <c r="HF163" s="60"/>
      <c r="HG163" s="60"/>
      <c r="HH163" s="60"/>
      <c r="HI163" s="60"/>
      <c r="HJ163" s="60"/>
      <c r="HK163" s="60"/>
      <c r="HL163" s="60"/>
      <c r="HM163" s="60"/>
      <c r="HN163" s="60"/>
      <c r="HO163" s="60"/>
      <c r="HP163" s="60"/>
      <c r="HQ163" s="60"/>
      <c r="HR163" s="60"/>
      <c r="HS163" s="60"/>
      <c r="HT163" s="60"/>
      <c r="HU163" s="60"/>
      <c r="HV163" s="60"/>
      <c r="HW163" s="60"/>
    </row>
    <row r="164" spans="1:231" s="14" customFormat="1" ht="57" customHeight="1">
      <c r="A164" s="10">
        <v>7</v>
      </c>
      <c r="B164" s="66" t="s">
        <v>72</v>
      </c>
      <c r="C164" s="4" t="s">
        <v>355</v>
      </c>
      <c r="D164" s="170">
        <v>2017</v>
      </c>
      <c r="E164" s="170">
        <v>2021</v>
      </c>
      <c r="F164" s="328" t="s">
        <v>82</v>
      </c>
      <c r="G164" s="324">
        <v>13861</v>
      </c>
      <c r="H164" s="324">
        <f>G164</f>
        <v>13861</v>
      </c>
      <c r="I164" s="324">
        <v>1000</v>
      </c>
      <c r="J164" s="331">
        <v>1000</v>
      </c>
      <c r="K164" s="325">
        <v>1000</v>
      </c>
      <c r="L164" s="326" t="s">
        <v>592</v>
      </c>
      <c r="M164" s="327"/>
      <c r="N164" s="60"/>
      <c r="O164" s="60"/>
      <c r="P164" s="172">
        <f t="shared" si="13"/>
        <v>2000</v>
      </c>
      <c r="Q164" s="172">
        <f t="shared" si="14"/>
        <v>2000</v>
      </c>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c r="BD164" s="60"/>
      <c r="BE164" s="60"/>
      <c r="BF164" s="60"/>
      <c r="BG164" s="60"/>
      <c r="BH164" s="60"/>
      <c r="BI164" s="60"/>
      <c r="BJ164" s="60"/>
      <c r="BK164" s="60"/>
      <c r="BL164" s="60"/>
      <c r="BM164" s="60"/>
      <c r="BN164" s="60"/>
      <c r="BO164" s="60"/>
      <c r="BP164" s="60"/>
      <c r="BQ164" s="60"/>
      <c r="BR164" s="60"/>
      <c r="BS164" s="60"/>
      <c r="BT164" s="60"/>
      <c r="BU164" s="60"/>
      <c r="BV164" s="60"/>
      <c r="BW164" s="60"/>
      <c r="BX164" s="60"/>
      <c r="BY164" s="60"/>
      <c r="BZ164" s="60"/>
      <c r="CA164" s="60"/>
      <c r="CB164" s="60"/>
      <c r="CC164" s="60"/>
      <c r="CD164" s="60"/>
      <c r="CE164" s="60"/>
      <c r="CF164" s="60"/>
      <c r="CG164" s="60"/>
      <c r="CH164" s="60"/>
      <c r="CI164" s="60"/>
      <c r="CJ164" s="60"/>
      <c r="CK164" s="60"/>
      <c r="CL164" s="60"/>
      <c r="CM164" s="60"/>
      <c r="CN164" s="60"/>
      <c r="CO164" s="60"/>
      <c r="CP164" s="60"/>
      <c r="CQ164" s="60"/>
      <c r="CR164" s="60"/>
      <c r="CS164" s="60"/>
      <c r="CT164" s="60"/>
      <c r="CU164" s="60"/>
      <c r="CV164" s="60"/>
      <c r="CW164" s="60"/>
      <c r="CX164" s="60"/>
      <c r="CY164" s="60"/>
      <c r="CZ164" s="60"/>
      <c r="DA164" s="60"/>
      <c r="DB164" s="60"/>
      <c r="DC164" s="60"/>
      <c r="DD164" s="60"/>
      <c r="DE164" s="60"/>
      <c r="DF164" s="60"/>
      <c r="DG164" s="60"/>
      <c r="DH164" s="60"/>
      <c r="DI164" s="60"/>
      <c r="DJ164" s="60"/>
      <c r="DK164" s="60"/>
      <c r="DL164" s="60"/>
      <c r="DM164" s="60"/>
      <c r="DN164" s="60"/>
      <c r="DO164" s="60"/>
      <c r="DP164" s="60"/>
      <c r="DQ164" s="60"/>
      <c r="DR164" s="60"/>
      <c r="DS164" s="60"/>
      <c r="DT164" s="60"/>
      <c r="DU164" s="60"/>
      <c r="DV164" s="60"/>
      <c r="DW164" s="60"/>
      <c r="DX164" s="60"/>
      <c r="DY164" s="60"/>
      <c r="DZ164" s="60"/>
      <c r="EA164" s="60"/>
      <c r="EB164" s="60"/>
      <c r="EC164" s="60"/>
      <c r="ED164" s="60"/>
      <c r="EE164" s="60"/>
      <c r="EF164" s="60"/>
      <c r="EG164" s="60"/>
      <c r="EH164" s="60"/>
      <c r="EI164" s="60"/>
      <c r="EJ164" s="60"/>
      <c r="EK164" s="60"/>
      <c r="EL164" s="60"/>
      <c r="EM164" s="60"/>
      <c r="EN164" s="60"/>
      <c r="EO164" s="60"/>
      <c r="EP164" s="60"/>
      <c r="EQ164" s="60"/>
      <c r="ER164" s="60"/>
      <c r="ES164" s="60"/>
      <c r="ET164" s="60"/>
      <c r="EU164" s="60"/>
      <c r="EV164" s="60"/>
      <c r="EW164" s="60"/>
      <c r="EX164" s="60"/>
      <c r="EY164" s="60"/>
      <c r="EZ164" s="60"/>
      <c r="FA164" s="60"/>
      <c r="FB164" s="60"/>
      <c r="FC164" s="60"/>
      <c r="FD164" s="60"/>
      <c r="FE164" s="60"/>
      <c r="FF164" s="60"/>
      <c r="FG164" s="60"/>
      <c r="FH164" s="60"/>
      <c r="FI164" s="60"/>
      <c r="FJ164" s="60"/>
      <c r="FK164" s="60"/>
      <c r="FL164" s="60"/>
      <c r="FM164" s="60"/>
      <c r="FN164" s="60"/>
      <c r="FO164" s="60"/>
      <c r="FP164" s="60"/>
      <c r="FQ164" s="60"/>
      <c r="FR164" s="60"/>
      <c r="FS164" s="60"/>
      <c r="FT164" s="60"/>
      <c r="FU164" s="60"/>
      <c r="FV164" s="60"/>
      <c r="FW164" s="60"/>
      <c r="FX164" s="60"/>
      <c r="FY164" s="60"/>
      <c r="FZ164" s="60"/>
      <c r="GA164" s="60"/>
      <c r="GB164" s="60"/>
      <c r="GC164" s="60"/>
      <c r="GD164" s="60"/>
      <c r="GE164" s="60"/>
      <c r="GF164" s="60"/>
      <c r="GG164" s="60"/>
      <c r="GH164" s="60"/>
      <c r="GI164" s="60"/>
      <c r="GJ164" s="60"/>
      <c r="GK164" s="60"/>
      <c r="GL164" s="60"/>
      <c r="GM164" s="60"/>
      <c r="GN164" s="60"/>
      <c r="GO164" s="60"/>
      <c r="GP164" s="60"/>
      <c r="GQ164" s="60"/>
      <c r="GR164" s="60"/>
      <c r="GS164" s="60"/>
      <c r="GT164" s="60"/>
      <c r="GU164" s="60"/>
      <c r="GV164" s="60"/>
      <c r="GW164" s="60"/>
      <c r="GX164" s="60"/>
      <c r="GY164" s="60"/>
      <c r="GZ164" s="60"/>
      <c r="HA164" s="60"/>
      <c r="HB164" s="60"/>
      <c r="HC164" s="60"/>
      <c r="HD164" s="60"/>
      <c r="HE164" s="60"/>
      <c r="HF164" s="60"/>
      <c r="HG164" s="60"/>
      <c r="HH164" s="60"/>
      <c r="HI164" s="60"/>
      <c r="HJ164" s="60"/>
      <c r="HK164" s="60"/>
      <c r="HL164" s="60"/>
      <c r="HM164" s="60"/>
      <c r="HN164" s="60"/>
      <c r="HO164" s="60"/>
      <c r="HP164" s="60"/>
      <c r="HQ164" s="60"/>
      <c r="HR164" s="60"/>
      <c r="HS164" s="60"/>
      <c r="HT164" s="60"/>
      <c r="HU164" s="60"/>
      <c r="HV164" s="60"/>
      <c r="HW164" s="60"/>
    </row>
    <row r="165" spans="1:231" s="12" customFormat="1" ht="31.5">
      <c r="A165" s="10">
        <v>8</v>
      </c>
      <c r="B165" s="5" t="s">
        <v>582</v>
      </c>
      <c r="C165" s="4" t="s">
        <v>9</v>
      </c>
      <c r="D165" s="170">
        <v>2016</v>
      </c>
      <c r="E165" s="170">
        <v>2021</v>
      </c>
      <c r="F165" s="322" t="s">
        <v>79</v>
      </c>
      <c r="G165" s="323">
        <v>165582</v>
      </c>
      <c r="H165" s="324">
        <v>165852</v>
      </c>
      <c r="I165" s="324">
        <v>16000</v>
      </c>
      <c r="J165" s="324">
        <v>16000</v>
      </c>
      <c r="K165" s="325">
        <v>10000</v>
      </c>
      <c r="L165" s="326" t="s">
        <v>589</v>
      </c>
      <c r="M165" s="327"/>
      <c r="N165" s="60"/>
      <c r="O165" s="60"/>
      <c r="P165" s="172">
        <f t="shared" si="13"/>
        <v>26000</v>
      </c>
      <c r="Q165" s="172">
        <f t="shared" si="14"/>
        <v>26000</v>
      </c>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c r="AQ165" s="60"/>
      <c r="AR165" s="60"/>
      <c r="AS165" s="60"/>
      <c r="AT165" s="60"/>
      <c r="AU165" s="60"/>
      <c r="AV165" s="60"/>
      <c r="AW165" s="60"/>
      <c r="AX165" s="60"/>
      <c r="AY165" s="60"/>
      <c r="AZ165" s="60"/>
      <c r="BA165" s="60"/>
      <c r="BB165" s="60"/>
      <c r="BC165" s="60"/>
      <c r="BD165" s="60"/>
      <c r="BE165" s="60"/>
      <c r="BF165" s="60"/>
      <c r="BG165" s="60"/>
      <c r="BH165" s="60"/>
      <c r="BI165" s="60"/>
      <c r="BJ165" s="60"/>
      <c r="BK165" s="60"/>
      <c r="BL165" s="60"/>
      <c r="BM165" s="60"/>
      <c r="BN165" s="60"/>
      <c r="BO165" s="60"/>
      <c r="BP165" s="60"/>
      <c r="BQ165" s="60"/>
      <c r="BR165" s="60"/>
      <c r="BS165" s="60"/>
      <c r="BT165" s="60"/>
      <c r="BU165" s="60"/>
      <c r="BV165" s="60"/>
      <c r="BW165" s="60"/>
      <c r="BX165" s="60"/>
      <c r="BY165" s="60"/>
      <c r="BZ165" s="60"/>
      <c r="CA165" s="60"/>
      <c r="CB165" s="60"/>
      <c r="CC165" s="60"/>
      <c r="CD165" s="60"/>
      <c r="CE165" s="60"/>
      <c r="CF165" s="60"/>
      <c r="CG165" s="60"/>
      <c r="CH165" s="60"/>
      <c r="CI165" s="60"/>
      <c r="CJ165" s="60"/>
      <c r="CK165" s="60"/>
      <c r="CL165" s="60"/>
      <c r="CM165" s="60"/>
      <c r="CN165" s="60"/>
      <c r="CO165" s="60"/>
      <c r="CP165" s="60"/>
      <c r="CQ165" s="60"/>
      <c r="CR165" s="60"/>
      <c r="CS165" s="60"/>
      <c r="CT165" s="60"/>
      <c r="CU165" s="60"/>
      <c r="CV165" s="60"/>
      <c r="CW165" s="60"/>
      <c r="CX165" s="60"/>
      <c r="CY165" s="60"/>
      <c r="CZ165" s="60"/>
      <c r="DA165" s="60"/>
      <c r="DB165" s="60"/>
      <c r="DC165" s="60"/>
      <c r="DD165" s="60"/>
      <c r="DE165" s="60"/>
      <c r="DF165" s="60"/>
      <c r="DG165" s="60"/>
      <c r="DH165" s="60"/>
      <c r="DI165" s="60"/>
      <c r="DJ165" s="60"/>
      <c r="DK165" s="60"/>
      <c r="DL165" s="60"/>
      <c r="DM165" s="60"/>
      <c r="DN165" s="60"/>
      <c r="DO165" s="60"/>
      <c r="DP165" s="60"/>
      <c r="DQ165" s="60"/>
      <c r="DR165" s="60"/>
      <c r="DS165" s="60"/>
      <c r="DT165" s="60"/>
      <c r="DU165" s="60"/>
      <c r="DV165" s="60"/>
      <c r="DW165" s="60"/>
      <c r="DX165" s="60"/>
      <c r="DY165" s="60"/>
      <c r="DZ165" s="60"/>
      <c r="EA165" s="60"/>
      <c r="EB165" s="60"/>
      <c r="EC165" s="60"/>
      <c r="ED165" s="60"/>
      <c r="EE165" s="60"/>
      <c r="EF165" s="60"/>
      <c r="EG165" s="60"/>
      <c r="EH165" s="60"/>
      <c r="EI165" s="60"/>
      <c r="EJ165" s="60"/>
      <c r="EK165" s="60"/>
      <c r="EL165" s="60"/>
      <c r="EM165" s="60"/>
      <c r="EN165" s="60"/>
      <c r="EO165" s="60"/>
      <c r="EP165" s="60"/>
      <c r="EQ165" s="60"/>
      <c r="ER165" s="60"/>
      <c r="ES165" s="60"/>
      <c r="ET165" s="60"/>
      <c r="EU165" s="60"/>
      <c r="EV165" s="60"/>
      <c r="EW165" s="60"/>
      <c r="EX165" s="60"/>
      <c r="EY165" s="60"/>
      <c r="EZ165" s="60"/>
      <c r="FA165" s="60"/>
      <c r="FB165" s="60"/>
      <c r="FC165" s="60"/>
      <c r="FD165" s="60"/>
      <c r="FE165" s="60"/>
      <c r="FF165" s="60"/>
      <c r="FG165" s="60"/>
      <c r="FH165" s="60"/>
      <c r="FI165" s="60"/>
      <c r="FJ165" s="60"/>
      <c r="FK165" s="60"/>
      <c r="FL165" s="60"/>
      <c r="FM165" s="60"/>
      <c r="FN165" s="60"/>
      <c r="FO165" s="60"/>
      <c r="FP165" s="60"/>
      <c r="FQ165" s="60"/>
      <c r="FR165" s="60"/>
      <c r="FS165" s="60"/>
      <c r="FT165" s="60"/>
      <c r="FU165" s="60"/>
      <c r="FV165" s="60"/>
      <c r="FW165" s="60"/>
      <c r="FX165" s="60"/>
      <c r="FY165" s="60"/>
      <c r="FZ165" s="60"/>
      <c r="GA165" s="60"/>
      <c r="GB165" s="60"/>
      <c r="GC165" s="60"/>
      <c r="GD165" s="60"/>
      <c r="GE165" s="60"/>
      <c r="GF165" s="60"/>
      <c r="GG165" s="60"/>
      <c r="GH165" s="60"/>
      <c r="GI165" s="60"/>
      <c r="GJ165" s="60"/>
      <c r="GK165" s="60"/>
      <c r="GL165" s="60"/>
      <c r="GM165" s="60"/>
      <c r="GN165" s="60"/>
      <c r="GO165" s="60"/>
      <c r="GP165" s="60"/>
      <c r="GQ165" s="60"/>
      <c r="GR165" s="60"/>
      <c r="GS165" s="60"/>
      <c r="GT165" s="60"/>
      <c r="GU165" s="60"/>
      <c r="GV165" s="60"/>
      <c r="GW165" s="60"/>
      <c r="GX165" s="60"/>
      <c r="GY165" s="60"/>
      <c r="GZ165" s="60"/>
      <c r="HA165" s="60"/>
      <c r="HB165" s="60"/>
      <c r="HC165" s="60"/>
      <c r="HD165" s="60"/>
      <c r="HE165" s="60"/>
      <c r="HF165" s="60"/>
      <c r="HG165" s="60"/>
      <c r="HH165" s="60"/>
      <c r="HI165" s="60"/>
      <c r="HJ165" s="60"/>
      <c r="HK165" s="60"/>
      <c r="HL165" s="60"/>
      <c r="HM165" s="60"/>
      <c r="HN165" s="60"/>
      <c r="HO165" s="60"/>
      <c r="HP165" s="60"/>
      <c r="HQ165" s="60"/>
      <c r="HR165" s="60"/>
      <c r="HS165" s="60"/>
      <c r="HT165" s="60"/>
      <c r="HU165" s="60"/>
      <c r="HV165" s="60"/>
      <c r="HW165" s="60"/>
    </row>
    <row r="166" spans="1:231" s="12" customFormat="1" ht="47.25">
      <c r="A166" s="10">
        <v>9</v>
      </c>
      <c r="B166" s="6" t="s">
        <v>583</v>
      </c>
      <c r="C166" s="4" t="s">
        <v>355</v>
      </c>
      <c r="D166" s="170">
        <v>2017</v>
      </c>
      <c r="E166" s="170">
        <v>2022</v>
      </c>
      <c r="F166" s="328" t="s">
        <v>80</v>
      </c>
      <c r="G166" s="324">
        <f>11.35*22500</f>
        <v>255375</v>
      </c>
      <c r="H166" s="324">
        <v>122000</v>
      </c>
      <c r="I166" s="324">
        <v>10000</v>
      </c>
      <c r="J166" s="331">
        <v>10000</v>
      </c>
      <c r="K166" s="325">
        <v>10000</v>
      </c>
      <c r="L166" s="326" t="s">
        <v>590</v>
      </c>
      <c r="M166" s="327"/>
      <c r="N166" s="60"/>
      <c r="O166" s="60"/>
      <c r="P166" s="172">
        <f t="shared" si="13"/>
        <v>20000</v>
      </c>
      <c r="Q166" s="172">
        <f t="shared" si="14"/>
        <v>20000</v>
      </c>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60"/>
      <c r="BE166" s="60"/>
      <c r="BF166" s="60"/>
      <c r="BG166" s="60"/>
      <c r="BH166" s="60"/>
      <c r="BI166" s="60"/>
      <c r="BJ166" s="60"/>
      <c r="BK166" s="60"/>
      <c r="BL166" s="60"/>
      <c r="BM166" s="60"/>
      <c r="BN166" s="60"/>
      <c r="BO166" s="60"/>
      <c r="BP166" s="60"/>
      <c r="BQ166" s="60"/>
      <c r="BR166" s="60"/>
      <c r="BS166" s="60"/>
      <c r="BT166" s="60"/>
      <c r="BU166" s="60"/>
      <c r="BV166" s="60"/>
      <c r="BW166" s="60"/>
      <c r="BX166" s="60"/>
      <c r="BY166" s="60"/>
      <c r="BZ166" s="60"/>
      <c r="CA166" s="60"/>
      <c r="CB166" s="60"/>
      <c r="CC166" s="60"/>
      <c r="CD166" s="60"/>
      <c r="CE166" s="60"/>
      <c r="CF166" s="60"/>
      <c r="CG166" s="60"/>
      <c r="CH166" s="60"/>
      <c r="CI166" s="60"/>
      <c r="CJ166" s="60"/>
      <c r="CK166" s="60"/>
      <c r="CL166" s="60"/>
      <c r="CM166" s="60"/>
      <c r="CN166" s="60"/>
      <c r="CO166" s="60"/>
      <c r="CP166" s="60"/>
      <c r="CQ166" s="60"/>
      <c r="CR166" s="60"/>
      <c r="CS166" s="60"/>
      <c r="CT166" s="60"/>
      <c r="CU166" s="60"/>
      <c r="CV166" s="60"/>
      <c r="CW166" s="60"/>
      <c r="CX166" s="60"/>
      <c r="CY166" s="60"/>
      <c r="CZ166" s="60"/>
      <c r="DA166" s="60"/>
      <c r="DB166" s="60"/>
      <c r="DC166" s="60"/>
      <c r="DD166" s="60"/>
      <c r="DE166" s="60"/>
      <c r="DF166" s="60"/>
      <c r="DG166" s="60"/>
      <c r="DH166" s="60"/>
      <c r="DI166" s="60"/>
      <c r="DJ166" s="60"/>
      <c r="DK166" s="60"/>
      <c r="DL166" s="60"/>
      <c r="DM166" s="60"/>
      <c r="DN166" s="60"/>
      <c r="DO166" s="60"/>
      <c r="DP166" s="60"/>
      <c r="DQ166" s="60"/>
      <c r="DR166" s="60"/>
      <c r="DS166" s="60"/>
      <c r="DT166" s="60"/>
      <c r="DU166" s="60"/>
      <c r="DV166" s="60"/>
      <c r="DW166" s="60"/>
      <c r="DX166" s="60"/>
      <c r="DY166" s="60"/>
      <c r="DZ166" s="60"/>
      <c r="EA166" s="60"/>
      <c r="EB166" s="60"/>
      <c r="EC166" s="60"/>
      <c r="ED166" s="60"/>
      <c r="EE166" s="60"/>
      <c r="EF166" s="60"/>
      <c r="EG166" s="60"/>
      <c r="EH166" s="60"/>
      <c r="EI166" s="60"/>
      <c r="EJ166" s="60"/>
      <c r="EK166" s="60"/>
      <c r="EL166" s="60"/>
      <c r="EM166" s="60"/>
      <c r="EN166" s="60"/>
      <c r="EO166" s="60"/>
      <c r="EP166" s="60"/>
      <c r="EQ166" s="60"/>
      <c r="ER166" s="60"/>
      <c r="ES166" s="60"/>
      <c r="ET166" s="60"/>
      <c r="EU166" s="60"/>
      <c r="EV166" s="60"/>
      <c r="EW166" s="60"/>
      <c r="EX166" s="60"/>
      <c r="EY166" s="60"/>
      <c r="EZ166" s="60"/>
      <c r="FA166" s="60"/>
      <c r="FB166" s="60"/>
      <c r="FC166" s="60"/>
      <c r="FD166" s="60"/>
      <c r="FE166" s="60"/>
      <c r="FF166" s="60"/>
      <c r="FG166" s="60"/>
      <c r="FH166" s="60"/>
      <c r="FI166" s="60"/>
      <c r="FJ166" s="60"/>
      <c r="FK166" s="60"/>
      <c r="FL166" s="60"/>
      <c r="FM166" s="60"/>
      <c r="FN166" s="60"/>
      <c r="FO166" s="60"/>
      <c r="FP166" s="60"/>
      <c r="FQ166" s="60"/>
      <c r="FR166" s="60"/>
      <c r="FS166" s="60"/>
      <c r="FT166" s="60"/>
      <c r="FU166" s="60"/>
      <c r="FV166" s="60"/>
      <c r="FW166" s="60"/>
      <c r="FX166" s="60"/>
      <c r="FY166" s="60"/>
      <c r="FZ166" s="60"/>
      <c r="GA166" s="60"/>
      <c r="GB166" s="60"/>
      <c r="GC166" s="60"/>
      <c r="GD166" s="60"/>
      <c r="GE166" s="60"/>
      <c r="GF166" s="60"/>
      <c r="GG166" s="60"/>
      <c r="GH166" s="60"/>
      <c r="GI166" s="60"/>
      <c r="GJ166" s="60"/>
      <c r="GK166" s="60"/>
      <c r="GL166" s="60"/>
      <c r="GM166" s="60"/>
      <c r="GN166" s="60"/>
      <c r="GO166" s="60"/>
      <c r="GP166" s="60"/>
      <c r="GQ166" s="60"/>
      <c r="GR166" s="60"/>
      <c r="GS166" s="60"/>
      <c r="GT166" s="60"/>
      <c r="GU166" s="60"/>
      <c r="GV166" s="60"/>
      <c r="GW166" s="60"/>
      <c r="GX166" s="60"/>
      <c r="GY166" s="60"/>
      <c r="GZ166" s="60"/>
      <c r="HA166" s="60"/>
      <c r="HB166" s="60"/>
      <c r="HC166" s="60"/>
      <c r="HD166" s="60"/>
      <c r="HE166" s="60"/>
      <c r="HF166" s="60"/>
      <c r="HG166" s="60"/>
      <c r="HH166" s="60"/>
      <c r="HI166" s="60"/>
      <c r="HJ166" s="60"/>
      <c r="HK166" s="60"/>
      <c r="HL166" s="60"/>
      <c r="HM166" s="60"/>
      <c r="HN166" s="60"/>
      <c r="HO166" s="60"/>
      <c r="HP166" s="60"/>
      <c r="HQ166" s="60"/>
      <c r="HR166" s="60"/>
      <c r="HS166" s="60"/>
      <c r="HT166" s="60"/>
      <c r="HU166" s="60"/>
      <c r="HV166" s="60"/>
      <c r="HW166" s="60"/>
    </row>
    <row r="167" spans="1:231" s="12" customFormat="1" ht="31.5">
      <c r="A167" s="10">
        <v>10</v>
      </c>
      <c r="B167" s="6" t="s">
        <v>71</v>
      </c>
      <c r="C167" s="4" t="s">
        <v>9</v>
      </c>
      <c r="D167" s="170">
        <v>2017</v>
      </c>
      <c r="E167" s="170">
        <v>2022</v>
      </c>
      <c r="F167" s="328" t="s">
        <v>81</v>
      </c>
      <c r="G167" s="324">
        <v>176000</v>
      </c>
      <c r="H167" s="324">
        <v>95274</v>
      </c>
      <c r="I167" s="324">
        <v>20900</v>
      </c>
      <c r="J167" s="331">
        <v>20900</v>
      </c>
      <c r="K167" s="325">
        <v>15000</v>
      </c>
      <c r="L167" s="315" t="s">
        <v>589</v>
      </c>
      <c r="M167" s="316"/>
      <c r="N167" s="60"/>
      <c r="O167" s="60"/>
      <c r="P167" s="172">
        <f t="shared" si="13"/>
        <v>35900</v>
      </c>
      <c r="Q167" s="172">
        <f t="shared" si="14"/>
        <v>35900</v>
      </c>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60"/>
      <c r="BA167" s="60"/>
      <c r="BB167" s="60"/>
      <c r="BC167" s="60"/>
      <c r="BD167" s="60"/>
      <c r="BE167" s="60"/>
      <c r="BF167" s="60"/>
      <c r="BG167" s="60"/>
      <c r="BH167" s="60"/>
      <c r="BI167" s="60"/>
      <c r="BJ167" s="60"/>
      <c r="BK167" s="60"/>
      <c r="BL167" s="60"/>
      <c r="BM167" s="60"/>
      <c r="BN167" s="60"/>
      <c r="BO167" s="60"/>
      <c r="BP167" s="60"/>
      <c r="BQ167" s="60"/>
      <c r="BR167" s="60"/>
      <c r="BS167" s="60"/>
      <c r="BT167" s="60"/>
      <c r="BU167" s="60"/>
      <c r="BV167" s="60"/>
      <c r="BW167" s="60"/>
      <c r="BX167" s="60"/>
      <c r="BY167" s="60"/>
      <c r="BZ167" s="60"/>
      <c r="CA167" s="60"/>
      <c r="CB167" s="60"/>
      <c r="CC167" s="60"/>
      <c r="CD167" s="60"/>
      <c r="CE167" s="60"/>
      <c r="CF167" s="60"/>
      <c r="CG167" s="60"/>
      <c r="CH167" s="60"/>
      <c r="CI167" s="60"/>
      <c r="CJ167" s="60"/>
      <c r="CK167" s="60"/>
      <c r="CL167" s="60"/>
      <c r="CM167" s="60"/>
      <c r="CN167" s="60"/>
      <c r="CO167" s="60"/>
      <c r="CP167" s="60"/>
      <c r="CQ167" s="60"/>
      <c r="CR167" s="60"/>
      <c r="CS167" s="60"/>
      <c r="CT167" s="60"/>
      <c r="CU167" s="60"/>
      <c r="CV167" s="60"/>
      <c r="CW167" s="60"/>
      <c r="CX167" s="60"/>
      <c r="CY167" s="60"/>
      <c r="CZ167" s="60"/>
      <c r="DA167" s="60"/>
      <c r="DB167" s="60"/>
      <c r="DC167" s="60"/>
      <c r="DD167" s="60"/>
      <c r="DE167" s="60"/>
      <c r="DF167" s="60"/>
      <c r="DG167" s="60"/>
      <c r="DH167" s="60"/>
      <c r="DI167" s="60"/>
      <c r="DJ167" s="60"/>
      <c r="DK167" s="60"/>
      <c r="DL167" s="60"/>
      <c r="DM167" s="60"/>
      <c r="DN167" s="60"/>
      <c r="DO167" s="60"/>
      <c r="DP167" s="60"/>
      <c r="DQ167" s="60"/>
      <c r="DR167" s="60"/>
      <c r="DS167" s="60"/>
      <c r="DT167" s="60"/>
      <c r="DU167" s="60"/>
      <c r="DV167" s="60"/>
      <c r="DW167" s="60"/>
      <c r="DX167" s="60"/>
      <c r="DY167" s="60"/>
      <c r="DZ167" s="60"/>
      <c r="EA167" s="60"/>
      <c r="EB167" s="60"/>
      <c r="EC167" s="60"/>
      <c r="ED167" s="60"/>
      <c r="EE167" s="60"/>
      <c r="EF167" s="60"/>
      <c r="EG167" s="60"/>
      <c r="EH167" s="60"/>
      <c r="EI167" s="60"/>
      <c r="EJ167" s="60"/>
      <c r="EK167" s="60"/>
      <c r="EL167" s="60"/>
      <c r="EM167" s="60"/>
      <c r="EN167" s="60"/>
      <c r="EO167" s="60"/>
      <c r="EP167" s="60"/>
      <c r="EQ167" s="60"/>
      <c r="ER167" s="60"/>
      <c r="ES167" s="60"/>
      <c r="ET167" s="60"/>
      <c r="EU167" s="60"/>
      <c r="EV167" s="60"/>
      <c r="EW167" s="60"/>
      <c r="EX167" s="60"/>
      <c r="EY167" s="60"/>
      <c r="EZ167" s="60"/>
      <c r="FA167" s="60"/>
      <c r="FB167" s="60"/>
      <c r="FC167" s="60"/>
      <c r="FD167" s="60"/>
      <c r="FE167" s="60"/>
      <c r="FF167" s="60"/>
      <c r="FG167" s="60"/>
      <c r="FH167" s="60"/>
      <c r="FI167" s="60"/>
      <c r="FJ167" s="60"/>
      <c r="FK167" s="60"/>
      <c r="FL167" s="60"/>
      <c r="FM167" s="60"/>
      <c r="FN167" s="60"/>
      <c r="FO167" s="60"/>
      <c r="FP167" s="60"/>
      <c r="FQ167" s="60"/>
      <c r="FR167" s="60"/>
      <c r="FS167" s="60"/>
      <c r="FT167" s="60"/>
      <c r="FU167" s="60"/>
      <c r="FV167" s="60"/>
      <c r="FW167" s="60"/>
      <c r="FX167" s="60"/>
      <c r="FY167" s="60"/>
      <c r="FZ167" s="60"/>
      <c r="GA167" s="60"/>
      <c r="GB167" s="60"/>
      <c r="GC167" s="60"/>
      <c r="GD167" s="60"/>
      <c r="GE167" s="60"/>
      <c r="GF167" s="60"/>
      <c r="GG167" s="60"/>
      <c r="GH167" s="60"/>
      <c r="GI167" s="60"/>
      <c r="GJ167" s="60"/>
      <c r="GK167" s="60"/>
      <c r="GL167" s="60"/>
      <c r="GM167" s="60"/>
      <c r="GN167" s="60"/>
      <c r="GO167" s="60"/>
      <c r="GP167" s="60"/>
      <c r="GQ167" s="60"/>
      <c r="GR167" s="60"/>
      <c r="GS167" s="60"/>
      <c r="GT167" s="60"/>
      <c r="GU167" s="60"/>
      <c r="GV167" s="60"/>
      <c r="GW167" s="60"/>
      <c r="GX167" s="60"/>
      <c r="GY167" s="60"/>
      <c r="GZ167" s="60"/>
      <c r="HA167" s="60"/>
      <c r="HB167" s="60"/>
      <c r="HC167" s="60"/>
      <c r="HD167" s="60"/>
      <c r="HE167" s="60"/>
      <c r="HF167" s="60"/>
      <c r="HG167" s="60"/>
      <c r="HH167" s="60"/>
      <c r="HI167" s="60"/>
      <c r="HJ167" s="60"/>
      <c r="HK167" s="60"/>
      <c r="HL167" s="60"/>
      <c r="HM167" s="60"/>
      <c r="HN167" s="60"/>
      <c r="HO167" s="60"/>
      <c r="HP167" s="60"/>
      <c r="HQ167" s="60"/>
      <c r="HR167" s="60"/>
      <c r="HS167" s="60"/>
      <c r="HT167" s="60"/>
      <c r="HU167" s="60"/>
      <c r="HV167" s="60"/>
      <c r="HW167" s="60"/>
    </row>
    <row r="168" spans="1:231" s="14" customFormat="1" ht="79.5" customHeight="1">
      <c r="A168" s="10">
        <v>11</v>
      </c>
      <c r="B168" s="118" t="s">
        <v>585</v>
      </c>
      <c r="C168" s="4" t="s">
        <v>355</v>
      </c>
      <c r="D168" s="170">
        <v>2018</v>
      </c>
      <c r="E168" s="170">
        <v>2023</v>
      </c>
      <c r="F168" s="328" t="s">
        <v>586</v>
      </c>
      <c r="G168" s="324">
        <v>57200</v>
      </c>
      <c r="H168" s="324">
        <v>18500</v>
      </c>
      <c r="I168" s="324"/>
      <c r="J168" s="331"/>
      <c r="K168" s="325">
        <v>2000</v>
      </c>
      <c r="L168" s="326" t="s">
        <v>591</v>
      </c>
      <c r="M168" s="327"/>
      <c r="N168" s="60"/>
      <c r="O168" s="60"/>
      <c r="P168" s="172">
        <f t="shared" si="13"/>
        <v>2000</v>
      </c>
      <c r="Q168" s="172">
        <f t="shared" si="14"/>
        <v>2000</v>
      </c>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c r="AU168" s="60"/>
      <c r="AV168" s="60"/>
      <c r="AW168" s="60"/>
      <c r="AX168" s="60"/>
      <c r="AY168" s="60"/>
      <c r="AZ168" s="60"/>
      <c r="BA168" s="60"/>
      <c r="BB168" s="60"/>
      <c r="BC168" s="60"/>
      <c r="BD168" s="60"/>
      <c r="BE168" s="60"/>
      <c r="BF168" s="60"/>
      <c r="BG168" s="60"/>
      <c r="BH168" s="60"/>
      <c r="BI168" s="60"/>
      <c r="BJ168" s="60"/>
      <c r="BK168" s="60"/>
      <c r="BL168" s="60"/>
      <c r="BM168" s="60"/>
      <c r="BN168" s="60"/>
      <c r="BO168" s="60"/>
      <c r="BP168" s="60"/>
      <c r="BQ168" s="60"/>
      <c r="BR168" s="60"/>
      <c r="BS168" s="60"/>
      <c r="BT168" s="60"/>
      <c r="BU168" s="60"/>
      <c r="BV168" s="60"/>
      <c r="BW168" s="60"/>
      <c r="BX168" s="60"/>
      <c r="BY168" s="60"/>
      <c r="BZ168" s="60"/>
      <c r="CA168" s="60"/>
      <c r="CB168" s="60"/>
      <c r="CC168" s="60"/>
      <c r="CD168" s="60"/>
      <c r="CE168" s="60"/>
      <c r="CF168" s="60"/>
      <c r="CG168" s="60"/>
      <c r="CH168" s="60"/>
      <c r="CI168" s="60"/>
      <c r="CJ168" s="60"/>
      <c r="CK168" s="60"/>
      <c r="CL168" s="60"/>
      <c r="CM168" s="60"/>
      <c r="CN168" s="60"/>
      <c r="CO168" s="60"/>
      <c r="CP168" s="60"/>
      <c r="CQ168" s="60"/>
      <c r="CR168" s="60"/>
      <c r="CS168" s="60"/>
      <c r="CT168" s="60"/>
      <c r="CU168" s="60"/>
      <c r="CV168" s="60"/>
      <c r="CW168" s="60"/>
      <c r="CX168" s="60"/>
      <c r="CY168" s="60"/>
      <c r="CZ168" s="60"/>
      <c r="DA168" s="60"/>
      <c r="DB168" s="60"/>
      <c r="DC168" s="60"/>
      <c r="DD168" s="60"/>
      <c r="DE168" s="60"/>
      <c r="DF168" s="60"/>
      <c r="DG168" s="60"/>
      <c r="DH168" s="60"/>
      <c r="DI168" s="60"/>
      <c r="DJ168" s="60"/>
      <c r="DK168" s="60"/>
      <c r="DL168" s="60"/>
      <c r="DM168" s="60"/>
      <c r="DN168" s="60"/>
      <c r="DO168" s="60"/>
      <c r="DP168" s="60"/>
      <c r="DQ168" s="60"/>
      <c r="DR168" s="60"/>
      <c r="DS168" s="60"/>
      <c r="DT168" s="60"/>
      <c r="DU168" s="60"/>
      <c r="DV168" s="60"/>
      <c r="DW168" s="60"/>
      <c r="DX168" s="60"/>
      <c r="DY168" s="60"/>
      <c r="DZ168" s="60"/>
      <c r="EA168" s="60"/>
      <c r="EB168" s="60"/>
      <c r="EC168" s="60"/>
      <c r="ED168" s="60"/>
      <c r="EE168" s="60"/>
      <c r="EF168" s="60"/>
      <c r="EG168" s="60"/>
      <c r="EH168" s="60"/>
      <c r="EI168" s="60"/>
      <c r="EJ168" s="60"/>
      <c r="EK168" s="60"/>
      <c r="EL168" s="60"/>
      <c r="EM168" s="60"/>
      <c r="EN168" s="60"/>
      <c r="EO168" s="60"/>
      <c r="EP168" s="60"/>
      <c r="EQ168" s="60"/>
      <c r="ER168" s="60"/>
      <c r="ES168" s="60"/>
      <c r="ET168" s="60"/>
      <c r="EU168" s="60"/>
      <c r="EV168" s="60"/>
      <c r="EW168" s="60"/>
      <c r="EX168" s="60"/>
      <c r="EY168" s="60"/>
      <c r="EZ168" s="60"/>
      <c r="FA168" s="60"/>
      <c r="FB168" s="60"/>
      <c r="FC168" s="60"/>
      <c r="FD168" s="60"/>
      <c r="FE168" s="60"/>
      <c r="FF168" s="60"/>
      <c r="FG168" s="60"/>
      <c r="FH168" s="60"/>
      <c r="FI168" s="60"/>
      <c r="FJ168" s="60"/>
      <c r="FK168" s="60"/>
      <c r="FL168" s="60"/>
      <c r="FM168" s="60"/>
      <c r="FN168" s="60"/>
      <c r="FO168" s="60"/>
      <c r="FP168" s="60"/>
      <c r="FQ168" s="60"/>
      <c r="FR168" s="60"/>
      <c r="FS168" s="60"/>
      <c r="FT168" s="60"/>
      <c r="FU168" s="60"/>
      <c r="FV168" s="60"/>
      <c r="FW168" s="60"/>
      <c r="FX168" s="60"/>
      <c r="FY168" s="60"/>
      <c r="FZ168" s="60"/>
      <c r="GA168" s="60"/>
      <c r="GB168" s="60"/>
      <c r="GC168" s="60"/>
      <c r="GD168" s="60"/>
      <c r="GE168" s="60"/>
      <c r="GF168" s="60"/>
      <c r="GG168" s="60"/>
      <c r="GH168" s="60"/>
      <c r="GI168" s="60"/>
      <c r="GJ168" s="60"/>
      <c r="GK168" s="60"/>
      <c r="GL168" s="60"/>
      <c r="GM168" s="60"/>
      <c r="GN168" s="60"/>
      <c r="GO168" s="60"/>
      <c r="GP168" s="60"/>
      <c r="GQ168" s="60"/>
      <c r="GR168" s="60"/>
      <c r="GS168" s="60"/>
      <c r="GT168" s="60"/>
      <c r="GU168" s="60"/>
      <c r="GV168" s="60"/>
      <c r="GW168" s="60"/>
      <c r="GX168" s="60"/>
      <c r="GY168" s="60"/>
      <c r="GZ168" s="60"/>
      <c r="HA168" s="60"/>
      <c r="HB168" s="60"/>
      <c r="HC168" s="60"/>
      <c r="HD168" s="60"/>
      <c r="HE168" s="60"/>
      <c r="HF168" s="60"/>
      <c r="HG168" s="60"/>
      <c r="HH168" s="60"/>
      <c r="HI168" s="60"/>
      <c r="HJ168" s="60"/>
      <c r="HK168" s="60"/>
      <c r="HL168" s="60"/>
      <c r="HM168" s="60"/>
      <c r="HN168" s="60"/>
      <c r="HO168" s="60"/>
      <c r="HP168" s="60"/>
      <c r="HQ168" s="60"/>
      <c r="HR168" s="60"/>
      <c r="HS168" s="60"/>
      <c r="HT168" s="60"/>
      <c r="HU168" s="60"/>
      <c r="HV168" s="60"/>
      <c r="HW168" s="60"/>
    </row>
    <row r="169" spans="1:231" s="342" customFormat="1" ht="15.75">
      <c r="A169" s="175" t="s">
        <v>949</v>
      </c>
      <c r="B169" s="332" t="s">
        <v>652</v>
      </c>
      <c r="C169" s="333"/>
      <c r="D169" s="334"/>
      <c r="E169" s="334"/>
      <c r="F169" s="335"/>
      <c r="G169" s="336"/>
      <c r="H169" s="336"/>
      <c r="I169" s="336"/>
      <c r="J169" s="337"/>
      <c r="K169" s="338">
        <v>10000</v>
      </c>
      <c r="L169" s="339"/>
      <c r="M169" s="340"/>
      <c r="N169" s="341"/>
      <c r="O169" s="341"/>
      <c r="P169" s="172">
        <f t="shared" si="13"/>
        <v>10000</v>
      </c>
      <c r="Q169" s="172">
        <f t="shared" si="14"/>
        <v>10000</v>
      </c>
      <c r="R169" s="341"/>
      <c r="S169" s="341"/>
      <c r="T169" s="341"/>
      <c r="U169" s="341"/>
      <c r="V169" s="341"/>
      <c r="W169" s="341"/>
      <c r="X169" s="341"/>
      <c r="Y169" s="341"/>
      <c r="Z169" s="341"/>
      <c r="AA169" s="341"/>
      <c r="AB169" s="341"/>
      <c r="AC169" s="341"/>
      <c r="AD169" s="341"/>
      <c r="AE169" s="341"/>
      <c r="AF169" s="341"/>
      <c r="AG169" s="341"/>
      <c r="AH169" s="341"/>
      <c r="AI169" s="341"/>
      <c r="AJ169" s="341"/>
      <c r="AK169" s="341"/>
      <c r="AL169" s="341"/>
      <c r="AM169" s="341"/>
      <c r="AN169" s="341"/>
      <c r="AO169" s="341"/>
      <c r="AP169" s="341"/>
      <c r="AQ169" s="341"/>
      <c r="AR169" s="341"/>
      <c r="AS169" s="341"/>
      <c r="AT169" s="341"/>
      <c r="AU169" s="341"/>
      <c r="AV169" s="341"/>
      <c r="AW169" s="341"/>
      <c r="AX169" s="341"/>
      <c r="AY169" s="341"/>
      <c r="AZ169" s="341"/>
      <c r="BA169" s="341"/>
      <c r="BB169" s="341"/>
      <c r="BC169" s="341"/>
      <c r="BD169" s="341"/>
      <c r="BE169" s="341"/>
      <c r="BF169" s="341"/>
      <c r="BG169" s="341"/>
      <c r="BH169" s="341"/>
      <c r="BI169" s="341"/>
      <c r="BJ169" s="341"/>
      <c r="BK169" s="341"/>
      <c r="BL169" s="341"/>
      <c r="BM169" s="341"/>
      <c r="BN169" s="341"/>
      <c r="BO169" s="341"/>
      <c r="BP169" s="341"/>
      <c r="BQ169" s="341"/>
      <c r="BR169" s="341"/>
      <c r="BS169" s="341"/>
      <c r="BT169" s="341"/>
      <c r="BU169" s="341"/>
      <c r="BV169" s="341"/>
      <c r="BW169" s="341"/>
      <c r="BX169" s="341"/>
      <c r="BY169" s="341"/>
      <c r="BZ169" s="341"/>
      <c r="CA169" s="341"/>
      <c r="CB169" s="341"/>
      <c r="CC169" s="341"/>
      <c r="CD169" s="341"/>
      <c r="CE169" s="341"/>
      <c r="CF169" s="341"/>
      <c r="CG169" s="341"/>
      <c r="CH169" s="341"/>
      <c r="CI169" s="341"/>
      <c r="CJ169" s="341"/>
      <c r="CK169" s="341"/>
      <c r="CL169" s="341"/>
      <c r="CM169" s="341"/>
      <c r="CN169" s="341"/>
      <c r="CO169" s="341"/>
      <c r="CP169" s="341"/>
      <c r="CQ169" s="341"/>
      <c r="CR169" s="341"/>
      <c r="CS169" s="341"/>
      <c r="CT169" s="341"/>
      <c r="CU169" s="341"/>
      <c r="CV169" s="341"/>
      <c r="CW169" s="341"/>
      <c r="CX169" s="341"/>
      <c r="CY169" s="341"/>
      <c r="CZ169" s="341"/>
      <c r="DA169" s="341"/>
      <c r="DB169" s="341"/>
      <c r="DC169" s="341"/>
      <c r="DD169" s="341"/>
      <c r="DE169" s="341"/>
      <c r="DF169" s="341"/>
      <c r="DG169" s="341"/>
      <c r="DH169" s="341"/>
      <c r="DI169" s="341"/>
      <c r="DJ169" s="341"/>
      <c r="DK169" s="341"/>
      <c r="DL169" s="341"/>
      <c r="DM169" s="341"/>
      <c r="DN169" s="341"/>
      <c r="DO169" s="341"/>
      <c r="DP169" s="341"/>
      <c r="DQ169" s="341"/>
      <c r="DR169" s="341"/>
      <c r="DS169" s="341"/>
      <c r="DT169" s="341"/>
      <c r="DU169" s="341"/>
      <c r="DV169" s="341"/>
      <c r="DW169" s="341"/>
      <c r="DX169" s="341"/>
      <c r="DY169" s="341"/>
      <c r="DZ169" s="341"/>
      <c r="EA169" s="341"/>
      <c r="EB169" s="341"/>
      <c r="EC169" s="341"/>
      <c r="ED169" s="341"/>
      <c r="EE169" s="341"/>
      <c r="EF169" s="341"/>
      <c r="EG169" s="341"/>
      <c r="EH169" s="341"/>
      <c r="EI169" s="341"/>
      <c r="EJ169" s="341"/>
      <c r="EK169" s="341"/>
      <c r="EL169" s="341"/>
      <c r="EM169" s="341"/>
      <c r="EN169" s="341"/>
      <c r="EO169" s="341"/>
      <c r="EP169" s="341"/>
      <c r="EQ169" s="341"/>
      <c r="ER169" s="341"/>
      <c r="ES169" s="341"/>
      <c r="ET169" s="341"/>
      <c r="EU169" s="341"/>
      <c r="EV169" s="341"/>
      <c r="EW169" s="341"/>
      <c r="EX169" s="341"/>
      <c r="EY169" s="341"/>
      <c r="EZ169" s="341"/>
      <c r="FA169" s="341"/>
      <c r="FB169" s="341"/>
      <c r="FC169" s="341"/>
      <c r="FD169" s="341"/>
      <c r="FE169" s="341"/>
      <c r="FF169" s="341"/>
      <c r="FG169" s="341"/>
      <c r="FH169" s="341"/>
      <c r="FI169" s="341"/>
      <c r="FJ169" s="341"/>
      <c r="FK169" s="341"/>
      <c r="FL169" s="341"/>
      <c r="FM169" s="341"/>
      <c r="FN169" s="341"/>
      <c r="FO169" s="341"/>
      <c r="FP169" s="341"/>
      <c r="FQ169" s="341"/>
      <c r="FR169" s="341"/>
      <c r="FS169" s="341"/>
      <c r="FT169" s="341"/>
      <c r="FU169" s="341"/>
      <c r="FV169" s="341"/>
      <c r="FW169" s="341"/>
      <c r="FX169" s="341"/>
      <c r="FY169" s="341"/>
      <c r="FZ169" s="341"/>
      <c r="GA169" s="341"/>
      <c r="GB169" s="341"/>
      <c r="GC169" s="341"/>
      <c r="GD169" s="341"/>
      <c r="GE169" s="341"/>
      <c r="GF169" s="341"/>
      <c r="GG169" s="341"/>
      <c r="GH169" s="341"/>
      <c r="GI169" s="341"/>
      <c r="GJ169" s="341"/>
      <c r="GK169" s="341"/>
      <c r="GL169" s="341"/>
      <c r="GM169" s="341"/>
      <c r="GN169" s="341"/>
      <c r="GO169" s="341"/>
      <c r="GP169" s="341"/>
      <c r="GQ169" s="341"/>
      <c r="GR169" s="341"/>
      <c r="GS169" s="341"/>
      <c r="GT169" s="341"/>
      <c r="GU169" s="341"/>
      <c r="GV169" s="341"/>
      <c r="GW169" s="341"/>
      <c r="GX169" s="341"/>
      <c r="GY169" s="341"/>
      <c r="GZ169" s="341"/>
      <c r="HA169" s="341"/>
      <c r="HB169" s="341"/>
      <c r="HC169" s="341"/>
      <c r="HD169" s="341"/>
      <c r="HE169" s="341"/>
      <c r="HF169" s="341"/>
      <c r="HG169" s="341"/>
      <c r="HH169" s="341"/>
      <c r="HI169" s="341"/>
      <c r="HJ169" s="341"/>
      <c r="HK169" s="341"/>
      <c r="HL169" s="341"/>
      <c r="HM169" s="341"/>
      <c r="HN169" s="341"/>
      <c r="HO169" s="341"/>
      <c r="HP169" s="341"/>
      <c r="HQ169" s="341"/>
      <c r="HR169" s="341"/>
      <c r="HS169" s="341"/>
      <c r="HT169" s="341"/>
      <c r="HU169" s="341"/>
      <c r="HV169" s="341"/>
      <c r="HW169" s="341"/>
    </row>
    <row r="170" spans="1:231" s="8" customFormat="1" ht="15.75">
      <c r="A170" s="141" t="s">
        <v>477</v>
      </c>
      <c r="B170" s="142" t="s">
        <v>661</v>
      </c>
      <c r="C170" s="2"/>
      <c r="D170" s="2"/>
      <c r="E170" s="2"/>
      <c r="F170" s="159"/>
      <c r="G170" s="166">
        <f>SUBTOTAL(9,G171:G183)</f>
        <v>832044</v>
      </c>
      <c r="H170" s="166">
        <f>SUBTOTAL(9,H171:H183)</f>
        <v>279441</v>
      </c>
      <c r="I170" s="166">
        <f>SUBTOTAL(9,I171:I183)</f>
        <v>519981</v>
      </c>
      <c r="J170" s="166">
        <f>SUBTOTAL(9,J171:J183)</f>
        <v>176155</v>
      </c>
      <c r="K170" s="166">
        <f>SUBTOTAL(9,K171:K183)</f>
        <v>21561</v>
      </c>
      <c r="L170" s="9"/>
      <c r="M170" s="113"/>
      <c r="P170" s="172">
        <f t="shared" si="13"/>
        <v>541542</v>
      </c>
      <c r="Q170" s="172">
        <f t="shared" si="14"/>
        <v>197716</v>
      </c>
    </row>
    <row r="171" spans="1:231" s="347" customFormat="1" ht="15.75">
      <c r="A171" s="177" t="s">
        <v>950</v>
      </c>
      <c r="B171" s="343" t="s">
        <v>951</v>
      </c>
      <c r="C171" s="344"/>
      <c r="D171" s="344"/>
      <c r="E171" s="344"/>
      <c r="F171" s="345"/>
      <c r="G171" s="180">
        <f>SUBTOTAL(9,G172:G182)</f>
        <v>832044</v>
      </c>
      <c r="H171" s="180">
        <f t="shared" ref="H171:K171" si="18">SUBTOTAL(9,H172:H182)</f>
        <v>279441</v>
      </c>
      <c r="I171" s="180">
        <f t="shared" si="18"/>
        <v>519981</v>
      </c>
      <c r="J171" s="180">
        <f t="shared" si="18"/>
        <v>176155</v>
      </c>
      <c r="K171" s="180">
        <f t="shared" si="18"/>
        <v>11561</v>
      </c>
      <c r="L171" s="215"/>
      <c r="M171" s="346"/>
      <c r="P171" s="172">
        <f t="shared" si="13"/>
        <v>531542</v>
      </c>
      <c r="Q171" s="172">
        <f t="shared" si="14"/>
        <v>187716</v>
      </c>
    </row>
    <row r="172" spans="1:231" s="60" customFormat="1" ht="31.5">
      <c r="A172" s="10">
        <v>1</v>
      </c>
      <c r="B172" s="255" t="s">
        <v>42</v>
      </c>
      <c r="C172" s="4" t="s">
        <v>33</v>
      </c>
      <c r="D172" s="3">
        <v>2012</v>
      </c>
      <c r="E172" s="3">
        <v>2013</v>
      </c>
      <c r="F172" s="348" t="s">
        <v>952</v>
      </c>
      <c r="G172" s="253">
        <v>38908</v>
      </c>
      <c r="H172" s="251">
        <v>3280</v>
      </c>
      <c r="I172" s="253">
        <v>32338</v>
      </c>
      <c r="J172" s="253">
        <v>2938</v>
      </c>
      <c r="K172" s="253">
        <v>537</v>
      </c>
      <c r="L172" s="247" t="s">
        <v>953</v>
      </c>
      <c r="M172" s="248"/>
      <c r="N172" s="257">
        <f>I172+K172</f>
        <v>32875</v>
      </c>
      <c r="O172" s="12"/>
      <c r="P172" s="172">
        <f t="shared" si="13"/>
        <v>32875</v>
      </c>
      <c r="Q172" s="172">
        <f t="shared" si="14"/>
        <v>3475</v>
      </c>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c r="BF172" s="12"/>
      <c r="BG172" s="12"/>
      <c r="BH172" s="12"/>
      <c r="BI172" s="12"/>
      <c r="BJ172" s="12"/>
      <c r="BK172" s="12"/>
      <c r="BL172" s="12"/>
      <c r="BM172" s="12"/>
      <c r="BN172" s="12"/>
      <c r="BO172" s="12"/>
      <c r="BP172" s="12"/>
      <c r="BQ172" s="12"/>
      <c r="BR172" s="12"/>
      <c r="BS172" s="12"/>
      <c r="BT172" s="12"/>
      <c r="BU172" s="12"/>
      <c r="BV172" s="12"/>
      <c r="BW172" s="12"/>
      <c r="BX172" s="12"/>
      <c r="BY172" s="12"/>
      <c r="BZ172" s="12"/>
      <c r="CA172" s="12"/>
      <c r="CB172" s="12"/>
      <c r="CC172" s="12"/>
      <c r="CD172" s="12"/>
      <c r="CE172" s="12"/>
      <c r="CF172" s="12"/>
      <c r="CG172" s="12"/>
      <c r="CH172" s="12"/>
      <c r="CI172" s="12"/>
      <c r="CJ172" s="12"/>
      <c r="CK172" s="12"/>
      <c r="CL172" s="12"/>
      <c r="CM172" s="12"/>
      <c r="CN172" s="12"/>
      <c r="CO172" s="12"/>
      <c r="CP172" s="12"/>
      <c r="CQ172" s="12"/>
      <c r="CR172" s="12"/>
      <c r="CS172" s="12"/>
      <c r="CT172" s="12"/>
      <c r="CU172" s="12"/>
      <c r="CV172" s="12"/>
      <c r="CW172" s="12"/>
      <c r="CX172" s="12"/>
      <c r="CY172" s="12"/>
      <c r="CZ172" s="12"/>
      <c r="DA172" s="12"/>
      <c r="DB172" s="12"/>
      <c r="DC172" s="12"/>
      <c r="DD172" s="12"/>
      <c r="DE172" s="12"/>
      <c r="DF172" s="12"/>
      <c r="DG172" s="12"/>
      <c r="DH172" s="12"/>
      <c r="DI172" s="12"/>
      <c r="DJ172" s="12"/>
      <c r="DK172" s="12"/>
      <c r="DL172" s="12"/>
      <c r="DM172" s="12"/>
      <c r="DN172" s="12"/>
      <c r="DO172" s="12"/>
      <c r="DP172" s="12"/>
      <c r="DQ172" s="12"/>
      <c r="DR172" s="12"/>
      <c r="DS172" s="12"/>
      <c r="DT172" s="12"/>
      <c r="DU172" s="12"/>
      <c r="DV172" s="12"/>
      <c r="DW172" s="12"/>
      <c r="DX172" s="12"/>
      <c r="DY172" s="12"/>
      <c r="DZ172" s="12"/>
      <c r="EA172" s="12"/>
      <c r="EB172" s="12"/>
      <c r="EC172" s="12"/>
      <c r="ED172" s="12"/>
      <c r="EE172" s="12"/>
      <c r="EF172" s="12"/>
      <c r="EG172" s="12"/>
      <c r="EH172" s="12"/>
      <c r="EI172" s="12"/>
      <c r="EJ172" s="12"/>
      <c r="EK172" s="12"/>
      <c r="EL172" s="12"/>
      <c r="EM172" s="12"/>
      <c r="EN172" s="12"/>
      <c r="EO172" s="12"/>
      <c r="EP172" s="12"/>
      <c r="EQ172" s="12"/>
      <c r="ER172" s="12"/>
      <c r="ES172" s="12"/>
      <c r="ET172" s="12"/>
      <c r="EU172" s="12"/>
      <c r="EV172" s="12"/>
      <c r="EW172" s="12"/>
      <c r="EX172" s="12"/>
      <c r="EY172" s="12"/>
      <c r="EZ172" s="12"/>
      <c r="FA172" s="12"/>
      <c r="FB172" s="12"/>
      <c r="FC172" s="12"/>
      <c r="FD172" s="12"/>
      <c r="FE172" s="12"/>
      <c r="FF172" s="12"/>
      <c r="FG172" s="12"/>
      <c r="FH172" s="12"/>
      <c r="FI172" s="12"/>
      <c r="FJ172" s="12"/>
      <c r="FK172" s="12"/>
      <c r="FL172" s="12"/>
      <c r="FM172" s="12"/>
      <c r="FN172" s="12"/>
      <c r="FO172" s="12"/>
      <c r="FP172" s="12"/>
      <c r="FQ172" s="12"/>
      <c r="FR172" s="12"/>
      <c r="FS172" s="12"/>
      <c r="FT172" s="12"/>
      <c r="FU172" s="12"/>
      <c r="FV172" s="12"/>
      <c r="FW172" s="12"/>
      <c r="FX172" s="12"/>
      <c r="FY172" s="12"/>
      <c r="FZ172" s="12"/>
      <c r="GA172" s="12"/>
      <c r="GB172" s="12"/>
      <c r="GC172" s="12"/>
      <c r="GD172" s="12"/>
      <c r="GE172" s="12"/>
      <c r="GF172" s="12"/>
      <c r="GG172" s="12"/>
      <c r="GH172" s="12"/>
      <c r="GI172" s="12"/>
      <c r="GJ172" s="12"/>
      <c r="GK172" s="12"/>
      <c r="GL172" s="12"/>
      <c r="GM172" s="12"/>
      <c r="GN172" s="12"/>
      <c r="GO172" s="12"/>
      <c r="GP172" s="12"/>
      <c r="GQ172" s="12"/>
      <c r="GR172" s="12"/>
      <c r="GS172" s="12"/>
      <c r="GT172" s="12"/>
      <c r="GU172" s="12"/>
      <c r="GV172" s="12"/>
      <c r="GW172" s="12"/>
      <c r="GX172" s="12"/>
      <c r="GY172" s="12"/>
      <c r="GZ172" s="12"/>
      <c r="HA172" s="12"/>
      <c r="HB172" s="12"/>
      <c r="HC172" s="12"/>
      <c r="HD172" s="12"/>
      <c r="HE172" s="12"/>
      <c r="HF172" s="12"/>
      <c r="HG172" s="12"/>
      <c r="HH172" s="12"/>
      <c r="HI172" s="12"/>
      <c r="HJ172" s="12"/>
      <c r="HK172" s="12"/>
      <c r="HL172" s="12"/>
      <c r="HM172" s="12"/>
      <c r="HN172" s="12"/>
      <c r="HO172" s="12"/>
      <c r="HP172" s="12"/>
      <c r="HQ172" s="12"/>
      <c r="HR172" s="12"/>
      <c r="HS172" s="12"/>
      <c r="HT172" s="12"/>
      <c r="HU172" s="12"/>
      <c r="HV172" s="12"/>
      <c r="HW172" s="12"/>
    </row>
    <row r="173" spans="1:231" s="8" customFormat="1" ht="38.25">
      <c r="A173" s="10">
        <v>2</v>
      </c>
      <c r="B173" s="62" t="s">
        <v>463</v>
      </c>
      <c r="C173" s="2" t="s">
        <v>9</v>
      </c>
      <c r="D173" s="3">
        <v>2010</v>
      </c>
      <c r="E173" s="3">
        <v>2014</v>
      </c>
      <c r="F173" s="185" t="s">
        <v>464</v>
      </c>
      <c r="G173" s="245">
        <v>175084</v>
      </c>
      <c r="H173" s="245">
        <f>175804-62741</f>
        <v>113063</v>
      </c>
      <c r="I173" s="245">
        <v>166695</v>
      </c>
      <c r="J173" s="245">
        <f>I173-62741</f>
        <v>103954</v>
      </c>
      <c r="K173" s="246">
        <v>1121</v>
      </c>
      <c r="L173" s="247" t="s">
        <v>587</v>
      </c>
      <c r="M173" s="248"/>
      <c r="N173" s="257">
        <f>I173+K173</f>
        <v>167816</v>
      </c>
      <c r="P173" s="172">
        <f t="shared" si="13"/>
        <v>167816</v>
      </c>
      <c r="Q173" s="172">
        <f t="shared" si="14"/>
        <v>105075</v>
      </c>
    </row>
    <row r="174" spans="1:231" s="266" customFormat="1" ht="38.25">
      <c r="A174" s="168">
        <v>3</v>
      </c>
      <c r="B174" s="255" t="s">
        <v>727</v>
      </c>
      <c r="C174" s="140" t="s">
        <v>10</v>
      </c>
      <c r="D174" s="170">
        <v>2013</v>
      </c>
      <c r="E174" s="170">
        <v>2015</v>
      </c>
      <c r="F174" s="263" t="s">
        <v>58</v>
      </c>
      <c r="G174" s="264">
        <v>22981</v>
      </c>
      <c r="H174" s="251">
        <v>2981</v>
      </c>
      <c r="I174" s="253">
        <v>21000</v>
      </c>
      <c r="J174" s="253">
        <v>1000</v>
      </c>
      <c r="K174" s="253">
        <v>606</v>
      </c>
      <c r="L174" s="247" t="s">
        <v>954</v>
      </c>
      <c r="M174" s="248"/>
      <c r="N174" s="12"/>
      <c r="O174" s="12"/>
      <c r="P174" s="172">
        <f t="shared" si="13"/>
        <v>21606</v>
      </c>
      <c r="Q174" s="172">
        <f t="shared" si="14"/>
        <v>1606</v>
      </c>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c r="BY174" s="12"/>
      <c r="BZ174" s="12"/>
      <c r="CA174" s="12"/>
      <c r="CB174" s="12"/>
      <c r="CC174" s="12"/>
      <c r="CD174" s="12"/>
      <c r="CE174" s="12"/>
      <c r="CF174" s="12"/>
      <c r="CG174" s="12"/>
      <c r="CH174" s="12"/>
      <c r="CI174" s="12"/>
      <c r="CJ174" s="12"/>
      <c r="CK174" s="12"/>
      <c r="CL174" s="12"/>
      <c r="CM174" s="12"/>
      <c r="CN174" s="12"/>
      <c r="CO174" s="12"/>
      <c r="CP174" s="12"/>
      <c r="CQ174" s="12"/>
      <c r="CR174" s="12"/>
      <c r="CS174" s="12"/>
      <c r="CT174" s="12"/>
      <c r="CU174" s="12"/>
      <c r="CV174" s="12"/>
      <c r="CW174" s="12"/>
      <c r="CX174" s="12"/>
      <c r="CY174" s="12"/>
      <c r="CZ174" s="12"/>
      <c r="DA174" s="12"/>
      <c r="DB174" s="12"/>
      <c r="DC174" s="12"/>
      <c r="DD174" s="12"/>
      <c r="DE174" s="12"/>
      <c r="DF174" s="12"/>
      <c r="DG174" s="12"/>
      <c r="DH174" s="12"/>
      <c r="DI174" s="12"/>
      <c r="DJ174" s="12"/>
      <c r="DK174" s="12"/>
      <c r="DL174" s="12"/>
      <c r="DM174" s="12"/>
      <c r="DN174" s="12"/>
      <c r="DO174" s="12"/>
      <c r="DP174" s="12"/>
      <c r="DQ174" s="12"/>
      <c r="DR174" s="12"/>
      <c r="DS174" s="12"/>
      <c r="DT174" s="12"/>
      <c r="DU174" s="12"/>
      <c r="DV174" s="12"/>
      <c r="DW174" s="12"/>
      <c r="DX174" s="12"/>
      <c r="DY174" s="12"/>
      <c r="DZ174" s="12"/>
      <c r="EA174" s="12"/>
      <c r="EB174" s="12"/>
      <c r="EC174" s="12"/>
      <c r="ED174" s="12"/>
      <c r="EE174" s="12"/>
      <c r="EF174" s="12"/>
      <c r="EG174" s="12"/>
      <c r="EH174" s="12"/>
      <c r="EI174" s="12"/>
      <c r="EJ174" s="12"/>
      <c r="EK174" s="12"/>
      <c r="EL174" s="12"/>
      <c r="EM174" s="12"/>
      <c r="EN174" s="12"/>
      <c r="EO174" s="12"/>
      <c r="EP174" s="12"/>
      <c r="EQ174" s="12"/>
      <c r="ER174" s="12"/>
      <c r="ES174" s="12"/>
      <c r="ET174" s="12"/>
      <c r="EU174" s="12"/>
      <c r="EV174" s="12"/>
      <c r="EW174" s="12"/>
      <c r="EX174" s="12"/>
      <c r="EY174" s="12"/>
      <c r="EZ174" s="12"/>
      <c r="FA174" s="12"/>
      <c r="FB174" s="12"/>
      <c r="FC174" s="12"/>
      <c r="FD174" s="12"/>
      <c r="FE174" s="12"/>
      <c r="FF174" s="12"/>
      <c r="FG174" s="12"/>
      <c r="FH174" s="12"/>
      <c r="FI174" s="12"/>
      <c r="FJ174" s="12"/>
      <c r="FK174" s="12"/>
      <c r="FL174" s="12"/>
      <c r="FM174" s="12"/>
      <c r="FN174" s="12"/>
      <c r="FO174" s="12"/>
      <c r="FP174" s="12"/>
      <c r="FQ174" s="12"/>
      <c r="FR174" s="12"/>
      <c r="FS174" s="12"/>
      <c r="FT174" s="12"/>
      <c r="FU174" s="12"/>
      <c r="FV174" s="12"/>
      <c r="FW174" s="12"/>
      <c r="FX174" s="12"/>
      <c r="FY174" s="12"/>
      <c r="FZ174" s="12"/>
      <c r="GA174" s="12"/>
      <c r="GB174" s="12"/>
      <c r="GC174" s="12"/>
      <c r="GD174" s="12"/>
      <c r="GE174" s="12"/>
      <c r="GF174" s="12"/>
      <c r="GG174" s="12"/>
      <c r="GH174" s="12"/>
      <c r="GI174" s="12"/>
      <c r="GJ174" s="12"/>
      <c r="GK174" s="12"/>
      <c r="GL174" s="12"/>
      <c r="GM174" s="12"/>
      <c r="GN174" s="12"/>
      <c r="GO174" s="12"/>
      <c r="GP174" s="12"/>
      <c r="GQ174" s="12"/>
      <c r="GR174" s="12"/>
      <c r="GS174" s="12"/>
      <c r="GT174" s="12"/>
      <c r="GU174" s="12"/>
      <c r="GV174" s="12"/>
      <c r="GW174" s="12"/>
      <c r="GX174" s="12"/>
      <c r="GY174" s="12"/>
      <c r="GZ174" s="12"/>
      <c r="HA174" s="12"/>
      <c r="HB174" s="12"/>
      <c r="HC174" s="12"/>
      <c r="HD174" s="12"/>
      <c r="HE174" s="12"/>
      <c r="HF174" s="12"/>
      <c r="HG174" s="12"/>
      <c r="HH174" s="12"/>
      <c r="HI174" s="12"/>
      <c r="HJ174" s="12"/>
      <c r="HK174" s="12"/>
      <c r="HL174" s="12"/>
      <c r="HM174" s="12"/>
      <c r="HN174" s="12"/>
      <c r="HO174" s="12"/>
      <c r="HP174" s="12"/>
      <c r="HQ174" s="12"/>
      <c r="HR174" s="12"/>
      <c r="HS174" s="12"/>
      <c r="HT174" s="12"/>
      <c r="HU174" s="12"/>
      <c r="HV174" s="12"/>
      <c r="HW174" s="12"/>
    </row>
    <row r="175" spans="1:231" s="254" customFormat="1" ht="47.25">
      <c r="A175" s="10">
        <v>4</v>
      </c>
      <c r="B175" s="169" t="s">
        <v>56</v>
      </c>
      <c r="C175" s="4" t="s">
        <v>33</v>
      </c>
      <c r="D175" s="170">
        <v>2014</v>
      </c>
      <c r="E175" s="170">
        <v>2015</v>
      </c>
      <c r="F175" s="267" t="s">
        <v>57</v>
      </c>
      <c r="G175" s="250">
        <v>15029</v>
      </c>
      <c r="H175" s="265">
        <v>2791</v>
      </c>
      <c r="I175" s="252">
        <v>14000</v>
      </c>
      <c r="J175" s="253">
        <v>2000</v>
      </c>
      <c r="K175" s="253">
        <v>791</v>
      </c>
      <c r="L175" s="247" t="s">
        <v>934</v>
      </c>
      <c r="M175" s="248"/>
      <c r="N175" s="12"/>
      <c r="O175" s="12"/>
      <c r="P175" s="172">
        <f t="shared" si="13"/>
        <v>14791</v>
      </c>
      <c r="Q175" s="172">
        <f t="shared" si="14"/>
        <v>2791</v>
      </c>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c r="BF175" s="12"/>
      <c r="BG175" s="12"/>
      <c r="BH175" s="12"/>
      <c r="BI175" s="12"/>
      <c r="BJ175" s="12"/>
      <c r="BK175" s="12"/>
      <c r="BL175" s="12"/>
      <c r="BM175" s="12"/>
      <c r="BN175" s="12"/>
      <c r="BO175" s="12"/>
      <c r="BP175" s="12"/>
      <c r="BQ175" s="12"/>
      <c r="BR175" s="12"/>
      <c r="BS175" s="12"/>
      <c r="BT175" s="12"/>
      <c r="BU175" s="12"/>
      <c r="BV175" s="12"/>
      <c r="BW175" s="12"/>
      <c r="BX175" s="12"/>
      <c r="BY175" s="12"/>
      <c r="BZ175" s="12"/>
      <c r="CA175" s="12"/>
      <c r="CB175" s="12"/>
      <c r="CC175" s="12"/>
      <c r="CD175" s="12"/>
      <c r="CE175" s="12"/>
      <c r="CF175" s="12"/>
      <c r="CG175" s="12"/>
      <c r="CH175" s="12"/>
      <c r="CI175" s="12"/>
      <c r="CJ175" s="12"/>
      <c r="CK175" s="12"/>
      <c r="CL175" s="12"/>
      <c r="CM175" s="12"/>
      <c r="CN175" s="12"/>
      <c r="CO175" s="12"/>
      <c r="CP175" s="12"/>
      <c r="CQ175" s="12"/>
      <c r="CR175" s="12"/>
      <c r="CS175" s="12"/>
      <c r="CT175" s="12"/>
      <c r="CU175" s="12"/>
      <c r="CV175" s="12"/>
      <c r="CW175" s="12"/>
      <c r="CX175" s="12"/>
      <c r="CY175" s="12"/>
      <c r="CZ175" s="12"/>
      <c r="DA175" s="12"/>
      <c r="DB175" s="12"/>
      <c r="DC175" s="12"/>
      <c r="DD175" s="12"/>
      <c r="DE175" s="12"/>
      <c r="DF175" s="12"/>
      <c r="DG175" s="12"/>
      <c r="DH175" s="12"/>
      <c r="DI175" s="12"/>
      <c r="DJ175" s="12"/>
      <c r="DK175" s="12"/>
      <c r="DL175" s="12"/>
      <c r="DM175" s="12"/>
      <c r="DN175" s="12"/>
      <c r="DO175" s="12"/>
      <c r="DP175" s="12"/>
      <c r="DQ175" s="12"/>
      <c r="DR175" s="12"/>
      <c r="DS175" s="12"/>
      <c r="DT175" s="12"/>
      <c r="DU175" s="12"/>
      <c r="DV175" s="12"/>
      <c r="DW175" s="12"/>
      <c r="DX175" s="12"/>
      <c r="DY175" s="12"/>
      <c r="DZ175" s="12"/>
      <c r="EA175" s="12"/>
      <c r="EB175" s="12"/>
      <c r="EC175" s="12"/>
      <c r="ED175" s="12"/>
      <c r="EE175" s="12"/>
      <c r="EF175" s="12"/>
      <c r="EG175" s="12"/>
      <c r="EH175" s="12"/>
      <c r="EI175" s="12"/>
      <c r="EJ175" s="12"/>
      <c r="EK175" s="12"/>
      <c r="EL175" s="12"/>
      <c r="EM175" s="12"/>
      <c r="EN175" s="12"/>
      <c r="EO175" s="12"/>
      <c r="EP175" s="12"/>
      <c r="EQ175" s="12"/>
      <c r="ER175" s="12"/>
      <c r="ES175" s="12"/>
      <c r="ET175" s="12"/>
      <c r="EU175" s="12"/>
      <c r="EV175" s="12"/>
      <c r="EW175" s="12"/>
      <c r="EX175" s="12"/>
      <c r="EY175" s="12"/>
      <c r="EZ175" s="12"/>
      <c r="FA175" s="12"/>
      <c r="FB175" s="12"/>
      <c r="FC175" s="12"/>
      <c r="FD175" s="12"/>
      <c r="FE175" s="12"/>
      <c r="FF175" s="12"/>
      <c r="FG175" s="12"/>
      <c r="FH175" s="12"/>
      <c r="FI175" s="12"/>
      <c r="FJ175" s="12"/>
      <c r="FK175" s="12"/>
      <c r="FL175" s="12"/>
      <c r="FM175" s="12"/>
      <c r="FN175" s="12"/>
      <c r="FO175" s="12"/>
      <c r="FP175" s="12"/>
      <c r="FQ175" s="12"/>
      <c r="FR175" s="12"/>
      <c r="FS175" s="12"/>
      <c r="FT175" s="12"/>
      <c r="FU175" s="12"/>
      <c r="FV175" s="12"/>
      <c r="FW175" s="12"/>
      <c r="FX175" s="12"/>
      <c r="FY175" s="12"/>
      <c r="FZ175" s="12"/>
      <c r="GA175" s="12"/>
      <c r="GB175" s="12"/>
      <c r="GC175" s="12"/>
      <c r="GD175" s="12"/>
      <c r="GE175" s="12"/>
      <c r="GF175" s="12"/>
      <c r="GG175" s="12"/>
      <c r="GH175" s="12"/>
      <c r="GI175" s="12"/>
      <c r="GJ175" s="12"/>
      <c r="GK175" s="12"/>
      <c r="GL175" s="12"/>
      <c r="GM175" s="12"/>
      <c r="GN175" s="12"/>
      <c r="GO175" s="12"/>
      <c r="GP175" s="12"/>
      <c r="GQ175" s="12"/>
      <c r="GR175" s="12"/>
      <c r="GS175" s="12"/>
      <c r="GT175" s="12"/>
      <c r="GU175" s="12"/>
      <c r="GV175" s="12"/>
      <c r="GW175" s="12"/>
      <c r="GX175" s="12"/>
      <c r="GY175" s="12"/>
      <c r="GZ175" s="12"/>
      <c r="HA175" s="12"/>
      <c r="HB175" s="12"/>
      <c r="HC175" s="12"/>
      <c r="HD175" s="12"/>
      <c r="HE175" s="12"/>
      <c r="HF175" s="12"/>
      <c r="HG175" s="12"/>
      <c r="HH175" s="12"/>
      <c r="HI175" s="12"/>
      <c r="HJ175" s="12"/>
      <c r="HK175" s="12"/>
      <c r="HL175" s="12"/>
      <c r="HM175" s="12"/>
      <c r="HN175" s="12"/>
      <c r="HO175" s="12"/>
      <c r="HP175" s="12"/>
      <c r="HQ175" s="12"/>
      <c r="HR175" s="12"/>
      <c r="HS175" s="12"/>
      <c r="HT175" s="12"/>
      <c r="HU175" s="12"/>
      <c r="HV175" s="12"/>
      <c r="HW175" s="12"/>
    </row>
    <row r="176" spans="1:231" s="8" customFormat="1" ht="51">
      <c r="A176" s="168">
        <v>5</v>
      </c>
      <c r="B176" s="62" t="s">
        <v>465</v>
      </c>
      <c r="C176" s="2" t="s">
        <v>33</v>
      </c>
      <c r="D176" s="3">
        <v>2011</v>
      </c>
      <c r="E176" s="3">
        <v>2015</v>
      </c>
      <c r="F176" s="349" t="s">
        <v>466</v>
      </c>
      <c r="G176" s="350">
        <v>19577</v>
      </c>
      <c r="H176" s="220">
        <v>4013</v>
      </c>
      <c r="I176" s="350">
        <v>4600</v>
      </c>
      <c r="J176" s="351">
        <v>2600</v>
      </c>
      <c r="K176" s="246">
        <v>1413</v>
      </c>
      <c r="L176" s="247" t="s">
        <v>934</v>
      </c>
      <c r="M176" s="248"/>
      <c r="N176" s="257">
        <f>I176+K176</f>
        <v>6013</v>
      </c>
      <c r="P176" s="172">
        <f t="shared" si="13"/>
        <v>6013</v>
      </c>
      <c r="Q176" s="172">
        <f t="shared" si="14"/>
        <v>4013</v>
      </c>
    </row>
    <row r="177" spans="1:231" s="60" customFormat="1" ht="31.5">
      <c r="A177" s="10">
        <v>6</v>
      </c>
      <c r="B177" s="169" t="s">
        <v>53</v>
      </c>
      <c r="C177" s="352" t="s">
        <v>46</v>
      </c>
      <c r="D177" s="170">
        <v>2009</v>
      </c>
      <c r="E177" s="170">
        <v>2012</v>
      </c>
      <c r="F177" s="267" t="s">
        <v>54</v>
      </c>
      <c r="G177" s="250">
        <v>17000</v>
      </c>
      <c r="H177" s="265">
        <v>4190</v>
      </c>
      <c r="I177" s="253">
        <f>10710+1047+2000</f>
        <v>13757</v>
      </c>
      <c r="J177" s="253">
        <f>1047+2000</f>
        <v>3047</v>
      </c>
      <c r="K177" s="353">
        <f>1143-56</f>
        <v>1087</v>
      </c>
      <c r="L177" s="247" t="s">
        <v>955</v>
      </c>
      <c r="M177" s="248"/>
      <c r="N177" s="12">
        <v>56</v>
      </c>
      <c r="O177" s="12"/>
      <c r="P177" s="172">
        <f t="shared" si="13"/>
        <v>14844</v>
      </c>
      <c r="Q177" s="172">
        <f t="shared" si="14"/>
        <v>4134</v>
      </c>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2"/>
      <c r="BW177" s="12"/>
      <c r="BX177" s="12"/>
      <c r="BY177" s="12"/>
      <c r="BZ177" s="12"/>
      <c r="CA177" s="12"/>
      <c r="CB177" s="12"/>
      <c r="CC177" s="12"/>
      <c r="CD177" s="12"/>
      <c r="CE177" s="12"/>
      <c r="CF177" s="12"/>
      <c r="CG177" s="12"/>
      <c r="CH177" s="12"/>
      <c r="CI177" s="12"/>
      <c r="CJ177" s="12"/>
      <c r="CK177" s="12"/>
      <c r="CL177" s="12"/>
      <c r="CM177" s="12"/>
      <c r="CN177" s="12"/>
      <c r="CO177" s="12"/>
      <c r="CP177" s="12"/>
      <c r="CQ177" s="12"/>
      <c r="CR177" s="12"/>
      <c r="CS177" s="12"/>
      <c r="CT177" s="12"/>
      <c r="CU177" s="12"/>
      <c r="CV177" s="12"/>
      <c r="CW177" s="12"/>
      <c r="CX177" s="12"/>
      <c r="CY177" s="12"/>
      <c r="CZ177" s="12"/>
      <c r="DA177" s="12"/>
      <c r="DB177" s="12"/>
      <c r="DC177" s="12"/>
      <c r="DD177" s="12"/>
      <c r="DE177" s="12"/>
      <c r="DF177" s="12"/>
      <c r="DG177" s="12"/>
      <c r="DH177" s="12"/>
      <c r="DI177" s="12"/>
      <c r="DJ177" s="12"/>
      <c r="DK177" s="12"/>
      <c r="DL177" s="12"/>
      <c r="DM177" s="12"/>
      <c r="DN177" s="12"/>
      <c r="DO177" s="12"/>
      <c r="DP177" s="12"/>
      <c r="DQ177" s="12"/>
      <c r="DR177" s="12"/>
      <c r="DS177" s="12"/>
      <c r="DT177" s="12"/>
      <c r="DU177" s="12"/>
      <c r="DV177" s="12"/>
      <c r="DW177" s="12"/>
      <c r="DX177" s="12"/>
      <c r="DY177" s="12"/>
      <c r="DZ177" s="12"/>
      <c r="EA177" s="12"/>
      <c r="EB177" s="12"/>
      <c r="EC177" s="12"/>
      <c r="ED177" s="12"/>
      <c r="EE177" s="12"/>
      <c r="EF177" s="12"/>
      <c r="EG177" s="12"/>
      <c r="EH177" s="12"/>
      <c r="EI177" s="12"/>
      <c r="EJ177" s="12"/>
      <c r="EK177" s="12"/>
      <c r="EL177" s="12"/>
      <c r="EM177" s="12"/>
      <c r="EN177" s="12"/>
      <c r="EO177" s="12"/>
      <c r="EP177" s="12"/>
      <c r="EQ177" s="12"/>
      <c r="ER177" s="12"/>
      <c r="ES177" s="12"/>
      <c r="ET177" s="12"/>
      <c r="EU177" s="12"/>
      <c r="EV177" s="12"/>
      <c r="EW177" s="12"/>
      <c r="EX177" s="12"/>
      <c r="EY177" s="12"/>
      <c r="EZ177" s="12"/>
      <c r="FA177" s="12"/>
      <c r="FB177" s="12"/>
      <c r="FC177" s="12"/>
      <c r="FD177" s="12"/>
      <c r="FE177" s="12"/>
      <c r="FF177" s="12"/>
      <c r="FG177" s="12"/>
      <c r="FH177" s="12"/>
      <c r="FI177" s="12"/>
      <c r="FJ177" s="12"/>
      <c r="FK177" s="12"/>
      <c r="FL177" s="12"/>
      <c r="FM177" s="12"/>
      <c r="FN177" s="12"/>
      <c r="FO177" s="12"/>
      <c r="FP177" s="12"/>
      <c r="FQ177" s="12"/>
      <c r="FR177" s="12"/>
      <c r="FS177" s="12"/>
      <c r="FT177" s="12"/>
      <c r="FU177" s="12"/>
      <c r="FV177" s="12"/>
      <c r="FW177" s="12"/>
      <c r="FX177" s="12"/>
      <c r="FY177" s="12"/>
      <c r="FZ177" s="12"/>
      <c r="GA177" s="12"/>
      <c r="GB177" s="12"/>
      <c r="GC177" s="12"/>
      <c r="GD177" s="12"/>
      <c r="GE177" s="12"/>
      <c r="GF177" s="12"/>
      <c r="GG177" s="12"/>
      <c r="GH177" s="12"/>
      <c r="GI177" s="12"/>
      <c r="GJ177" s="12"/>
      <c r="GK177" s="12"/>
      <c r="GL177" s="12"/>
      <c r="GM177" s="12"/>
      <c r="GN177" s="12"/>
      <c r="GO177" s="12"/>
      <c r="GP177" s="12"/>
      <c r="GQ177" s="12"/>
      <c r="GR177" s="12"/>
      <c r="GS177" s="12"/>
      <c r="GT177" s="12"/>
      <c r="GU177" s="12"/>
      <c r="GV177" s="12"/>
      <c r="GW177" s="12"/>
      <c r="GX177" s="12"/>
      <c r="GY177" s="12"/>
      <c r="GZ177" s="12"/>
      <c r="HA177" s="12"/>
      <c r="HB177" s="12"/>
      <c r="HC177" s="12"/>
      <c r="HD177" s="12"/>
      <c r="HE177" s="12"/>
      <c r="HF177" s="12"/>
      <c r="HG177" s="12"/>
      <c r="HH177" s="12"/>
      <c r="HI177" s="12"/>
      <c r="HJ177" s="12"/>
      <c r="HK177" s="12"/>
      <c r="HL177" s="12"/>
      <c r="HM177" s="12"/>
      <c r="HN177" s="12"/>
      <c r="HO177" s="12"/>
      <c r="HP177" s="12"/>
      <c r="HQ177" s="12"/>
      <c r="HR177" s="12"/>
      <c r="HS177" s="12"/>
      <c r="HT177" s="12"/>
      <c r="HU177" s="12"/>
      <c r="HV177" s="12"/>
      <c r="HW177" s="12"/>
    </row>
    <row r="178" spans="1:231" s="12" customFormat="1" ht="83.25" customHeight="1">
      <c r="A178" s="168">
        <v>7</v>
      </c>
      <c r="B178" s="255" t="s">
        <v>483</v>
      </c>
      <c r="C178" s="270" t="s">
        <v>46</v>
      </c>
      <c r="D178" s="170">
        <v>2011</v>
      </c>
      <c r="E178" s="170">
        <v>2013</v>
      </c>
      <c r="F178" s="159" t="s">
        <v>485</v>
      </c>
      <c r="G178" s="288">
        <v>29493</v>
      </c>
      <c r="H178" s="288">
        <v>6655</v>
      </c>
      <c r="I178" s="288">
        <v>22345</v>
      </c>
      <c r="J178" s="288">
        <v>3000</v>
      </c>
      <c r="K178" s="354">
        <f>1397</f>
        <v>1397</v>
      </c>
      <c r="L178" s="247" t="s">
        <v>955</v>
      </c>
      <c r="M178" s="248" t="s">
        <v>956</v>
      </c>
      <c r="N178" s="12">
        <v>2258</v>
      </c>
      <c r="P178" s="172">
        <f t="shared" si="13"/>
        <v>23742</v>
      </c>
      <c r="Q178" s="172">
        <f t="shared" si="14"/>
        <v>4397</v>
      </c>
    </row>
    <row r="179" spans="1:231" s="305" customFormat="1" ht="47.25">
      <c r="A179" s="10">
        <v>8</v>
      </c>
      <c r="B179" s="64" t="s">
        <v>35</v>
      </c>
      <c r="C179" s="2" t="s">
        <v>9</v>
      </c>
      <c r="D179" s="3">
        <v>2010</v>
      </c>
      <c r="E179" s="3">
        <v>2016</v>
      </c>
      <c r="F179" s="355" t="s">
        <v>36</v>
      </c>
      <c r="G179" s="356">
        <v>52941</v>
      </c>
      <c r="H179" s="356">
        <v>52941</v>
      </c>
      <c r="I179" s="356">
        <f>37540+2318+1758+1000</f>
        <v>42616</v>
      </c>
      <c r="J179" s="246">
        <f>I179</f>
        <v>42616</v>
      </c>
      <c r="K179" s="357">
        <f>582</f>
        <v>582</v>
      </c>
      <c r="L179" s="247" t="s">
        <v>587</v>
      </c>
      <c r="M179" s="248" t="s">
        <v>957</v>
      </c>
      <c r="N179" s="257">
        <f t="shared" ref="N179:N180" si="19">I179+K179</f>
        <v>43198</v>
      </c>
      <c r="O179" s="8"/>
      <c r="P179" s="172">
        <f t="shared" si="13"/>
        <v>43198</v>
      </c>
      <c r="Q179" s="172">
        <f t="shared" si="14"/>
        <v>43198</v>
      </c>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c r="DM179" s="8"/>
      <c r="DN179" s="8"/>
      <c r="DO179" s="8"/>
      <c r="DP179" s="8"/>
      <c r="DQ179" s="8"/>
      <c r="DR179" s="8"/>
      <c r="DS179" s="8"/>
      <c r="DT179" s="8"/>
      <c r="DU179" s="8"/>
      <c r="DV179" s="8"/>
      <c r="DW179" s="8"/>
      <c r="DX179" s="8"/>
      <c r="DY179" s="8"/>
      <c r="DZ179" s="8"/>
      <c r="EA179" s="8"/>
      <c r="EB179" s="8"/>
      <c r="EC179" s="8"/>
      <c r="ED179" s="8"/>
      <c r="EE179" s="8"/>
      <c r="EF179" s="8"/>
      <c r="EG179" s="8"/>
      <c r="EH179" s="8"/>
      <c r="EI179" s="8"/>
      <c r="EJ179" s="8"/>
      <c r="EK179" s="8"/>
      <c r="EL179" s="8"/>
      <c r="EM179" s="8"/>
      <c r="EN179" s="8"/>
      <c r="EO179" s="8"/>
      <c r="EP179" s="8"/>
      <c r="EQ179" s="8"/>
      <c r="ER179" s="8"/>
      <c r="ES179" s="8"/>
      <c r="ET179" s="8"/>
      <c r="EU179" s="8"/>
      <c r="EV179" s="8"/>
      <c r="EW179" s="8"/>
      <c r="EX179" s="8"/>
      <c r="EY179" s="8"/>
      <c r="EZ179" s="8"/>
      <c r="FA179" s="8"/>
      <c r="FB179" s="8"/>
      <c r="FC179" s="8"/>
      <c r="FD179" s="8"/>
      <c r="FE179" s="8"/>
      <c r="FF179" s="8"/>
      <c r="FG179" s="8"/>
      <c r="FH179" s="8"/>
      <c r="FI179" s="8"/>
      <c r="FJ179" s="8"/>
      <c r="FK179" s="8"/>
      <c r="FL179" s="8"/>
      <c r="FM179" s="8"/>
      <c r="FN179" s="8"/>
      <c r="FO179" s="8"/>
      <c r="FP179" s="8"/>
      <c r="FQ179" s="8"/>
      <c r="FR179" s="8"/>
      <c r="FS179" s="8"/>
      <c r="FT179" s="8"/>
      <c r="FU179" s="8"/>
      <c r="FV179" s="8"/>
      <c r="FW179" s="8"/>
      <c r="FX179" s="8"/>
      <c r="FY179" s="8"/>
      <c r="FZ179" s="8"/>
      <c r="GA179" s="8"/>
      <c r="GB179" s="8"/>
      <c r="GC179" s="8"/>
      <c r="GD179" s="8"/>
      <c r="GE179" s="8"/>
      <c r="GF179" s="8"/>
      <c r="GG179" s="8"/>
      <c r="GH179" s="8"/>
      <c r="GI179" s="8"/>
      <c r="GJ179" s="8"/>
      <c r="GK179" s="8"/>
      <c r="GL179" s="8"/>
      <c r="GM179" s="8"/>
      <c r="GN179" s="8"/>
      <c r="GO179" s="8"/>
      <c r="GP179" s="8"/>
      <c r="GQ179" s="8"/>
      <c r="GR179" s="8"/>
      <c r="GS179" s="8"/>
      <c r="GT179" s="8"/>
      <c r="GU179" s="8"/>
      <c r="GV179" s="8"/>
      <c r="GW179" s="8"/>
      <c r="GX179" s="8"/>
      <c r="GY179" s="8"/>
      <c r="GZ179" s="8"/>
      <c r="HA179" s="8"/>
      <c r="HB179" s="8"/>
      <c r="HC179" s="8"/>
      <c r="HD179" s="8"/>
      <c r="HE179" s="8"/>
      <c r="HF179" s="8"/>
      <c r="HG179" s="8"/>
      <c r="HH179" s="8"/>
      <c r="HI179" s="8"/>
      <c r="HJ179" s="8"/>
      <c r="HK179" s="8"/>
      <c r="HL179" s="8"/>
      <c r="HM179" s="8"/>
      <c r="HN179" s="8"/>
      <c r="HO179" s="8"/>
      <c r="HP179" s="8"/>
      <c r="HQ179" s="8"/>
      <c r="HR179" s="8"/>
      <c r="HS179" s="8"/>
      <c r="HT179" s="8"/>
      <c r="HU179" s="8"/>
      <c r="HV179" s="8"/>
      <c r="HW179" s="8"/>
    </row>
    <row r="180" spans="1:231" s="12" customFormat="1" ht="60" customHeight="1">
      <c r="A180" s="168">
        <v>9</v>
      </c>
      <c r="B180" s="23" t="s">
        <v>461</v>
      </c>
      <c r="C180" s="4" t="s">
        <v>33</v>
      </c>
      <c r="D180" s="3">
        <v>2008</v>
      </c>
      <c r="E180" s="3">
        <v>2014</v>
      </c>
      <c r="F180" s="358" t="s">
        <v>462</v>
      </c>
      <c r="G180" s="359">
        <v>112794</v>
      </c>
      <c r="H180" s="220">
        <v>24664</v>
      </c>
      <c r="I180" s="269">
        <v>91130</v>
      </c>
      <c r="J180" s="264">
        <v>3000</v>
      </c>
      <c r="K180" s="354">
        <f>995</f>
        <v>995</v>
      </c>
      <c r="L180" s="36" t="s">
        <v>958</v>
      </c>
      <c r="M180" s="248" t="s">
        <v>959</v>
      </c>
      <c r="N180" s="257">
        <f t="shared" si="19"/>
        <v>92125</v>
      </c>
      <c r="P180" s="172">
        <f t="shared" si="13"/>
        <v>92125</v>
      </c>
      <c r="Q180" s="172">
        <f t="shared" si="14"/>
        <v>3995</v>
      </c>
    </row>
    <row r="181" spans="1:231" s="222" customFormat="1" ht="63">
      <c r="A181" s="10">
        <v>10</v>
      </c>
      <c r="B181" s="360" t="s">
        <v>51</v>
      </c>
      <c r="C181" s="4" t="s">
        <v>355</v>
      </c>
      <c r="D181" s="3">
        <v>2010</v>
      </c>
      <c r="E181" s="3">
        <v>2016</v>
      </c>
      <c r="F181" s="361" t="s">
        <v>52</v>
      </c>
      <c r="G181" s="269">
        <v>257147</v>
      </c>
      <c r="H181" s="269">
        <v>50000</v>
      </c>
      <c r="I181" s="269">
        <f>50000+5000+9000+10000+3500</f>
        <v>77500</v>
      </c>
      <c r="J181" s="362">
        <v>8500</v>
      </c>
      <c r="K181" s="353">
        <f>1000</f>
        <v>1000</v>
      </c>
      <c r="L181" s="247" t="s">
        <v>960</v>
      </c>
      <c r="M181" s="248" t="s">
        <v>961</v>
      </c>
      <c r="N181" s="12">
        <f>3993+1257</f>
        <v>5250</v>
      </c>
      <c r="O181" s="12"/>
      <c r="P181" s="172">
        <f t="shared" si="13"/>
        <v>78500</v>
      </c>
      <c r="Q181" s="172">
        <f t="shared" si="14"/>
        <v>9500</v>
      </c>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c r="BF181" s="12"/>
      <c r="BG181" s="12"/>
      <c r="BH181" s="12"/>
      <c r="BI181" s="12"/>
      <c r="BJ181" s="12"/>
      <c r="BK181" s="12"/>
      <c r="BL181" s="12"/>
      <c r="BM181" s="12"/>
      <c r="BN181" s="12"/>
      <c r="BO181" s="12"/>
      <c r="BP181" s="12"/>
      <c r="BQ181" s="12"/>
      <c r="BR181" s="12"/>
      <c r="BS181" s="12"/>
      <c r="BT181" s="12"/>
      <c r="BU181" s="12"/>
      <c r="BV181" s="12"/>
      <c r="BW181" s="12"/>
      <c r="BX181" s="12"/>
      <c r="BY181" s="12"/>
      <c r="BZ181" s="12"/>
      <c r="CA181" s="12"/>
      <c r="CB181" s="12"/>
      <c r="CC181" s="12"/>
      <c r="CD181" s="12"/>
      <c r="CE181" s="12"/>
      <c r="CF181" s="12"/>
      <c r="CG181" s="12"/>
      <c r="CH181" s="12"/>
      <c r="CI181" s="12"/>
      <c r="CJ181" s="12"/>
      <c r="CK181" s="12"/>
      <c r="CL181" s="12"/>
      <c r="CM181" s="12"/>
      <c r="CN181" s="12"/>
      <c r="CO181" s="12"/>
      <c r="CP181" s="12"/>
      <c r="CQ181" s="12"/>
      <c r="CR181" s="12"/>
      <c r="CS181" s="12"/>
      <c r="CT181" s="12"/>
      <c r="CU181" s="12"/>
      <c r="CV181" s="12"/>
      <c r="CW181" s="12"/>
      <c r="CX181" s="12"/>
      <c r="CY181" s="12"/>
      <c r="CZ181" s="12"/>
      <c r="DA181" s="12"/>
      <c r="DB181" s="12"/>
      <c r="DC181" s="12"/>
      <c r="DD181" s="12"/>
      <c r="DE181" s="12"/>
      <c r="DF181" s="12"/>
      <c r="DG181" s="12"/>
      <c r="DH181" s="12"/>
      <c r="DI181" s="12"/>
      <c r="DJ181" s="12"/>
      <c r="DK181" s="12"/>
      <c r="DL181" s="12"/>
      <c r="DM181" s="12"/>
      <c r="DN181" s="12"/>
      <c r="DO181" s="12"/>
      <c r="DP181" s="12"/>
      <c r="DQ181" s="12"/>
      <c r="DR181" s="12"/>
      <c r="DS181" s="12"/>
      <c r="DT181" s="12"/>
      <c r="DU181" s="12"/>
      <c r="DV181" s="12"/>
      <c r="DW181" s="12"/>
      <c r="DX181" s="12"/>
      <c r="DY181" s="12"/>
      <c r="DZ181" s="12"/>
      <c r="EA181" s="12"/>
      <c r="EB181" s="12"/>
      <c r="EC181" s="12"/>
      <c r="ED181" s="12"/>
      <c r="EE181" s="12"/>
      <c r="EF181" s="12"/>
      <c r="EG181" s="12"/>
      <c r="EH181" s="12"/>
      <c r="EI181" s="12"/>
      <c r="EJ181" s="12"/>
      <c r="EK181" s="12"/>
      <c r="EL181" s="12"/>
      <c r="EM181" s="12"/>
      <c r="EN181" s="12"/>
      <c r="EO181" s="12"/>
      <c r="EP181" s="12"/>
      <c r="EQ181" s="12"/>
      <c r="ER181" s="12"/>
      <c r="ES181" s="12"/>
      <c r="ET181" s="12"/>
      <c r="EU181" s="12"/>
      <c r="EV181" s="12"/>
      <c r="EW181" s="12"/>
      <c r="EX181" s="12"/>
      <c r="EY181" s="12"/>
      <c r="EZ181" s="12"/>
      <c r="FA181" s="12"/>
      <c r="FB181" s="12"/>
      <c r="FC181" s="12"/>
      <c r="FD181" s="12"/>
      <c r="FE181" s="12"/>
      <c r="FF181" s="12"/>
      <c r="FG181" s="12"/>
      <c r="FH181" s="12"/>
      <c r="FI181" s="12"/>
      <c r="FJ181" s="12"/>
      <c r="FK181" s="12"/>
      <c r="FL181" s="12"/>
      <c r="FM181" s="12"/>
      <c r="FN181" s="12"/>
      <c r="FO181" s="12"/>
      <c r="FP181" s="12"/>
      <c r="FQ181" s="12"/>
      <c r="FR181" s="12"/>
      <c r="FS181" s="12"/>
      <c r="FT181" s="12"/>
      <c r="FU181" s="12"/>
      <c r="FV181" s="12"/>
      <c r="FW181" s="12"/>
      <c r="FX181" s="12"/>
      <c r="FY181" s="12"/>
      <c r="FZ181" s="12"/>
      <c r="GA181" s="12"/>
      <c r="GB181" s="12"/>
      <c r="GC181" s="12"/>
      <c r="GD181" s="12"/>
      <c r="GE181" s="12"/>
      <c r="GF181" s="12"/>
      <c r="GG181" s="12"/>
      <c r="GH181" s="12"/>
      <c r="GI181" s="12"/>
      <c r="GJ181" s="12"/>
      <c r="GK181" s="12"/>
      <c r="GL181" s="12"/>
      <c r="GM181" s="12"/>
      <c r="GN181" s="12"/>
      <c r="GO181" s="12"/>
      <c r="GP181" s="12"/>
      <c r="GQ181" s="12"/>
      <c r="GR181" s="12"/>
      <c r="GS181" s="12"/>
      <c r="GT181" s="12"/>
      <c r="GU181" s="12"/>
      <c r="GV181" s="12"/>
      <c r="GW181" s="12"/>
      <c r="GX181" s="12"/>
      <c r="GY181" s="12"/>
      <c r="GZ181" s="12"/>
      <c r="HA181" s="12"/>
      <c r="HB181" s="12"/>
      <c r="HC181" s="12"/>
      <c r="HD181" s="12"/>
      <c r="HE181" s="12"/>
      <c r="HF181" s="12"/>
      <c r="HG181" s="12"/>
      <c r="HH181" s="12"/>
      <c r="HI181" s="12"/>
      <c r="HJ181" s="12"/>
      <c r="HK181" s="12"/>
      <c r="HL181" s="12"/>
      <c r="HM181" s="12"/>
      <c r="HN181" s="12"/>
      <c r="HO181" s="12"/>
      <c r="HP181" s="12"/>
      <c r="HQ181" s="12"/>
      <c r="HR181" s="12"/>
      <c r="HS181" s="12"/>
      <c r="HT181" s="12"/>
      <c r="HU181" s="12"/>
      <c r="HV181" s="12"/>
      <c r="HW181" s="12"/>
    </row>
    <row r="182" spans="1:231" s="12" customFormat="1" ht="54" customHeight="1">
      <c r="A182" s="168">
        <v>11</v>
      </c>
      <c r="B182" s="1" t="s">
        <v>962</v>
      </c>
      <c r="C182" s="270" t="s">
        <v>46</v>
      </c>
      <c r="D182" s="170">
        <v>2011</v>
      </c>
      <c r="E182" s="170">
        <v>2013</v>
      </c>
      <c r="F182" s="159" t="s">
        <v>484</v>
      </c>
      <c r="G182" s="288">
        <v>91090</v>
      </c>
      <c r="H182" s="288">
        <v>14863</v>
      </c>
      <c r="I182" s="288">
        <v>34000</v>
      </c>
      <c r="J182" s="288">
        <v>3500</v>
      </c>
      <c r="K182" s="354">
        <f>2032</f>
        <v>2032</v>
      </c>
      <c r="L182" s="247" t="s">
        <v>963</v>
      </c>
      <c r="M182" s="248" t="s">
        <v>964</v>
      </c>
      <c r="N182" s="12">
        <f>725+3319</f>
        <v>4044</v>
      </c>
      <c r="P182" s="172">
        <f t="shared" si="13"/>
        <v>36032</v>
      </c>
      <c r="Q182" s="172">
        <f t="shared" si="14"/>
        <v>5532</v>
      </c>
    </row>
    <row r="183" spans="1:231" s="371" customFormat="1" ht="31.5">
      <c r="A183" s="292" t="s">
        <v>965</v>
      </c>
      <c r="B183" s="293" t="s">
        <v>966</v>
      </c>
      <c r="C183" s="333"/>
      <c r="D183" s="363"/>
      <c r="E183" s="364"/>
      <c r="F183" s="365"/>
      <c r="G183" s="366"/>
      <c r="H183" s="367"/>
      <c r="I183" s="368"/>
      <c r="J183" s="368"/>
      <c r="K183" s="369">
        <v>10000</v>
      </c>
      <c r="L183" s="181" t="s">
        <v>653</v>
      </c>
      <c r="M183" s="182"/>
      <c r="N183" s="370"/>
      <c r="O183" s="370"/>
      <c r="P183" s="172">
        <f t="shared" si="13"/>
        <v>10000</v>
      </c>
      <c r="Q183" s="172">
        <f t="shared" si="14"/>
        <v>10000</v>
      </c>
      <c r="R183" s="370"/>
      <c r="S183" s="370"/>
      <c r="T183" s="370"/>
      <c r="U183" s="370"/>
      <c r="V183" s="370"/>
      <c r="W183" s="370"/>
      <c r="X183" s="370"/>
      <c r="Y183" s="370"/>
      <c r="Z183" s="370"/>
      <c r="AA183" s="370"/>
      <c r="AB183" s="370"/>
      <c r="AC183" s="370"/>
      <c r="AD183" s="370"/>
      <c r="AE183" s="370"/>
      <c r="AF183" s="370"/>
      <c r="AG183" s="370"/>
      <c r="AH183" s="370"/>
      <c r="AI183" s="370"/>
      <c r="AJ183" s="370"/>
      <c r="AK183" s="370"/>
      <c r="AL183" s="370"/>
      <c r="AM183" s="370"/>
      <c r="AN183" s="370"/>
      <c r="AO183" s="370"/>
      <c r="AP183" s="370"/>
      <c r="AQ183" s="370"/>
      <c r="AR183" s="370"/>
      <c r="AS183" s="370"/>
      <c r="AT183" s="370"/>
      <c r="AU183" s="370"/>
      <c r="AV183" s="370"/>
      <c r="AW183" s="370"/>
      <c r="AX183" s="370"/>
      <c r="AY183" s="370"/>
      <c r="AZ183" s="370"/>
      <c r="BA183" s="370"/>
      <c r="BB183" s="370"/>
      <c r="BC183" s="370"/>
      <c r="BD183" s="370"/>
      <c r="BE183" s="370"/>
      <c r="BF183" s="370"/>
      <c r="BG183" s="370"/>
      <c r="BH183" s="370"/>
      <c r="BI183" s="370"/>
      <c r="BJ183" s="370"/>
      <c r="BK183" s="370"/>
      <c r="BL183" s="370"/>
      <c r="BM183" s="370"/>
      <c r="BN183" s="370"/>
      <c r="BO183" s="370"/>
      <c r="BP183" s="370"/>
      <c r="BQ183" s="370"/>
      <c r="BR183" s="370"/>
      <c r="BS183" s="370"/>
      <c r="BT183" s="370"/>
      <c r="BU183" s="370"/>
      <c r="BV183" s="370"/>
      <c r="BW183" s="370"/>
      <c r="BX183" s="370"/>
      <c r="BY183" s="370"/>
      <c r="BZ183" s="370"/>
      <c r="CA183" s="370"/>
      <c r="CB183" s="370"/>
      <c r="CC183" s="370"/>
      <c r="CD183" s="370"/>
      <c r="CE183" s="370"/>
      <c r="CF183" s="370"/>
      <c r="CG183" s="370"/>
      <c r="CH183" s="370"/>
      <c r="CI183" s="370"/>
      <c r="CJ183" s="370"/>
      <c r="CK183" s="370"/>
      <c r="CL183" s="370"/>
      <c r="CM183" s="370"/>
      <c r="CN183" s="370"/>
      <c r="CO183" s="370"/>
      <c r="CP183" s="370"/>
      <c r="CQ183" s="370"/>
      <c r="CR183" s="370"/>
      <c r="CS183" s="370"/>
      <c r="CT183" s="370"/>
      <c r="CU183" s="370"/>
      <c r="CV183" s="370"/>
      <c r="CW183" s="370"/>
      <c r="CX183" s="370"/>
      <c r="CY183" s="370"/>
      <c r="CZ183" s="370"/>
      <c r="DA183" s="370"/>
      <c r="DB183" s="370"/>
      <c r="DC183" s="370"/>
      <c r="DD183" s="370"/>
      <c r="DE183" s="370"/>
      <c r="DF183" s="370"/>
      <c r="DG183" s="370"/>
      <c r="DH183" s="370"/>
      <c r="DI183" s="370"/>
      <c r="DJ183" s="370"/>
      <c r="DK183" s="370"/>
      <c r="DL183" s="370"/>
      <c r="DM183" s="370"/>
      <c r="DN183" s="370"/>
      <c r="DO183" s="370"/>
      <c r="DP183" s="370"/>
      <c r="DQ183" s="370"/>
      <c r="DR183" s="370"/>
      <c r="DS183" s="370"/>
      <c r="DT183" s="370"/>
      <c r="DU183" s="370"/>
      <c r="DV183" s="370"/>
      <c r="DW183" s="370"/>
      <c r="DX183" s="370"/>
      <c r="DY183" s="370"/>
      <c r="DZ183" s="370"/>
      <c r="EA183" s="370"/>
      <c r="EB183" s="370"/>
      <c r="EC183" s="370"/>
      <c r="ED183" s="370"/>
      <c r="EE183" s="370"/>
      <c r="EF183" s="370"/>
      <c r="EG183" s="370"/>
      <c r="EH183" s="370"/>
      <c r="EI183" s="370"/>
      <c r="EJ183" s="370"/>
      <c r="EK183" s="370"/>
      <c r="EL183" s="370"/>
      <c r="EM183" s="370"/>
      <c r="EN183" s="370"/>
      <c r="EO183" s="370"/>
      <c r="EP183" s="370"/>
      <c r="EQ183" s="370"/>
      <c r="ER183" s="370"/>
      <c r="ES183" s="370"/>
      <c r="ET183" s="370"/>
      <c r="EU183" s="370"/>
      <c r="EV183" s="370"/>
      <c r="EW183" s="370"/>
      <c r="EX183" s="370"/>
      <c r="EY183" s="370"/>
      <c r="EZ183" s="370"/>
      <c r="FA183" s="370"/>
      <c r="FB183" s="370"/>
      <c r="FC183" s="370"/>
      <c r="FD183" s="370"/>
      <c r="FE183" s="370"/>
      <c r="FF183" s="370"/>
      <c r="FG183" s="370"/>
      <c r="FH183" s="370"/>
      <c r="FI183" s="370"/>
      <c r="FJ183" s="370"/>
      <c r="FK183" s="370"/>
      <c r="FL183" s="370"/>
      <c r="FM183" s="370"/>
      <c r="FN183" s="370"/>
      <c r="FO183" s="370"/>
      <c r="FP183" s="370"/>
      <c r="FQ183" s="370"/>
      <c r="FR183" s="370"/>
      <c r="FS183" s="370"/>
      <c r="FT183" s="370"/>
      <c r="FU183" s="370"/>
      <c r="FV183" s="370"/>
      <c r="FW183" s="370"/>
      <c r="FX183" s="370"/>
      <c r="FY183" s="370"/>
      <c r="FZ183" s="370"/>
      <c r="GA183" s="370"/>
      <c r="GB183" s="370"/>
      <c r="GC183" s="370"/>
      <c r="GD183" s="370"/>
      <c r="GE183" s="370"/>
      <c r="GF183" s="370"/>
      <c r="GG183" s="370"/>
      <c r="GH183" s="370"/>
      <c r="GI183" s="370"/>
      <c r="GJ183" s="370"/>
      <c r="GK183" s="370"/>
      <c r="GL183" s="370"/>
      <c r="GM183" s="370"/>
      <c r="GN183" s="370"/>
      <c r="GO183" s="370"/>
      <c r="GP183" s="370"/>
      <c r="GQ183" s="370"/>
      <c r="GR183" s="370"/>
      <c r="GS183" s="370"/>
      <c r="GT183" s="370"/>
      <c r="GU183" s="370"/>
      <c r="GV183" s="370"/>
      <c r="GW183" s="370"/>
      <c r="GX183" s="370"/>
      <c r="GY183" s="370"/>
      <c r="GZ183" s="370"/>
      <c r="HA183" s="370"/>
      <c r="HB183" s="370"/>
      <c r="HC183" s="370"/>
      <c r="HD183" s="370"/>
      <c r="HE183" s="370"/>
      <c r="HF183" s="370"/>
      <c r="HG183" s="370"/>
      <c r="HH183" s="370"/>
      <c r="HI183" s="370"/>
      <c r="HJ183" s="370"/>
      <c r="HK183" s="370"/>
      <c r="HL183" s="370"/>
      <c r="HM183" s="370"/>
      <c r="HN183" s="370"/>
      <c r="HO183" s="370"/>
      <c r="HP183" s="370"/>
      <c r="HQ183" s="370"/>
      <c r="HR183" s="370"/>
      <c r="HS183" s="370"/>
      <c r="HT183" s="370"/>
      <c r="HU183" s="370"/>
      <c r="HV183" s="370"/>
      <c r="HW183" s="370"/>
    </row>
    <row r="184" spans="1:231" s="12" customFormat="1" ht="15.75">
      <c r="A184" s="19" t="s">
        <v>562</v>
      </c>
      <c r="B184" s="372" t="s">
        <v>573</v>
      </c>
      <c r="C184" s="160"/>
      <c r="D184" s="373"/>
      <c r="E184" s="373"/>
      <c r="F184" s="374"/>
      <c r="G184" s="20">
        <f>SUBTOTAL(109,G185:G235)</f>
        <v>649262</v>
      </c>
      <c r="H184" s="20">
        <f t="shared" ref="H184:K184" si="20">SUBTOTAL(109,H185:H235)</f>
        <v>484012.7</v>
      </c>
      <c r="I184" s="20">
        <f t="shared" si="20"/>
        <v>352386</v>
      </c>
      <c r="J184" s="20">
        <f t="shared" si="20"/>
        <v>277992</v>
      </c>
      <c r="K184" s="20">
        <f t="shared" si="20"/>
        <v>109702</v>
      </c>
      <c r="L184" s="375"/>
      <c r="M184" s="376"/>
      <c r="N184" s="60"/>
      <c r="O184" s="60"/>
      <c r="P184" s="172">
        <f t="shared" si="13"/>
        <v>462088</v>
      </c>
      <c r="Q184" s="172">
        <f t="shared" si="14"/>
        <v>387694</v>
      </c>
      <c r="R184" s="60"/>
      <c r="S184" s="60"/>
      <c r="T184" s="60"/>
      <c r="U184" s="60"/>
      <c r="V184" s="60"/>
      <c r="W184" s="60"/>
      <c r="X184" s="60"/>
      <c r="Y184" s="60"/>
      <c r="Z184" s="60"/>
      <c r="AA184" s="60"/>
      <c r="AB184" s="60"/>
      <c r="AC184" s="60"/>
      <c r="AD184" s="60"/>
      <c r="AE184" s="60"/>
      <c r="AF184" s="60"/>
      <c r="AG184" s="60"/>
      <c r="AH184" s="60"/>
      <c r="AI184" s="60"/>
      <c r="AJ184" s="60"/>
      <c r="AK184" s="60"/>
      <c r="AL184" s="60"/>
      <c r="AM184" s="60"/>
      <c r="AN184" s="60"/>
      <c r="AO184" s="60"/>
      <c r="AP184" s="60"/>
      <c r="AQ184" s="60"/>
      <c r="AR184" s="60"/>
      <c r="AS184" s="60"/>
      <c r="AT184" s="60"/>
      <c r="AU184" s="60"/>
      <c r="AV184" s="60"/>
      <c r="AW184" s="60"/>
      <c r="AX184" s="60"/>
      <c r="AY184" s="60"/>
      <c r="AZ184" s="60"/>
      <c r="BA184" s="60"/>
      <c r="BB184" s="60"/>
      <c r="BC184" s="60"/>
      <c r="BD184" s="60"/>
      <c r="BE184" s="60"/>
      <c r="BF184" s="60"/>
      <c r="BG184" s="60"/>
      <c r="BH184" s="60"/>
      <c r="BI184" s="60"/>
      <c r="BJ184" s="60"/>
      <c r="BK184" s="60"/>
      <c r="BL184" s="60"/>
      <c r="BM184" s="60"/>
      <c r="BN184" s="60"/>
      <c r="BO184" s="60"/>
      <c r="BP184" s="60"/>
      <c r="BQ184" s="60"/>
      <c r="BR184" s="60"/>
      <c r="BS184" s="60"/>
      <c r="BT184" s="60"/>
      <c r="BU184" s="60"/>
      <c r="BV184" s="60"/>
      <c r="BW184" s="60"/>
      <c r="BX184" s="60"/>
      <c r="BY184" s="60"/>
      <c r="BZ184" s="60"/>
      <c r="CA184" s="60"/>
      <c r="CB184" s="60"/>
      <c r="CC184" s="60"/>
      <c r="CD184" s="60"/>
      <c r="CE184" s="60"/>
      <c r="CF184" s="60"/>
      <c r="CG184" s="60"/>
      <c r="CH184" s="60"/>
      <c r="CI184" s="60"/>
      <c r="CJ184" s="60"/>
      <c r="CK184" s="60"/>
      <c r="CL184" s="60"/>
      <c r="CM184" s="60"/>
      <c r="CN184" s="60"/>
      <c r="CO184" s="60"/>
      <c r="CP184" s="60"/>
      <c r="CQ184" s="60"/>
      <c r="CR184" s="60"/>
      <c r="CS184" s="60"/>
      <c r="CT184" s="60"/>
      <c r="CU184" s="60"/>
      <c r="CV184" s="60"/>
      <c r="CW184" s="60"/>
      <c r="CX184" s="60"/>
      <c r="CY184" s="60"/>
      <c r="CZ184" s="60"/>
      <c r="DA184" s="60"/>
      <c r="DB184" s="60"/>
      <c r="DC184" s="60"/>
      <c r="DD184" s="60"/>
      <c r="DE184" s="60"/>
      <c r="DF184" s="60"/>
      <c r="DG184" s="60"/>
      <c r="DH184" s="60"/>
      <c r="DI184" s="60"/>
      <c r="DJ184" s="60"/>
      <c r="DK184" s="60"/>
      <c r="DL184" s="60"/>
      <c r="DM184" s="60"/>
      <c r="DN184" s="60"/>
      <c r="DO184" s="60"/>
      <c r="DP184" s="60"/>
      <c r="DQ184" s="60"/>
      <c r="DR184" s="60"/>
      <c r="DS184" s="60"/>
      <c r="DT184" s="60"/>
      <c r="DU184" s="60"/>
      <c r="DV184" s="60"/>
      <c r="DW184" s="60"/>
      <c r="DX184" s="60"/>
      <c r="DY184" s="60"/>
      <c r="DZ184" s="60"/>
      <c r="EA184" s="60"/>
      <c r="EB184" s="60"/>
      <c r="EC184" s="60"/>
      <c r="ED184" s="60"/>
      <c r="EE184" s="60"/>
      <c r="EF184" s="60"/>
      <c r="EG184" s="60"/>
      <c r="EH184" s="60"/>
      <c r="EI184" s="60"/>
      <c r="EJ184" s="60"/>
      <c r="EK184" s="60"/>
      <c r="EL184" s="60"/>
      <c r="EM184" s="60"/>
      <c r="EN184" s="60"/>
      <c r="EO184" s="60"/>
      <c r="EP184" s="60"/>
      <c r="EQ184" s="60"/>
      <c r="ER184" s="60"/>
      <c r="ES184" s="60"/>
      <c r="ET184" s="60"/>
      <c r="EU184" s="60"/>
      <c r="EV184" s="60"/>
      <c r="EW184" s="60"/>
      <c r="EX184" s="60"/>
      <c r="EY184" s="60"/>
      <c r="EZ184" s="60"/>
      <c r="FA184" s="60"/>
      <c r="FB184" s="60"/>
      <c r="FC184" s="60"/>
      <c r="FD184" s="60"/>
      <c r="FE184" s="60"/>
      <c r="FF184" s="60"/>
      <c r="FG184" s="60"/>
      <c r="FH184" s="60"/>
      <c r="FI184" s="60"/>
      <c r="FJ184" s="60"/>
      <c r="FK184" s="60"/>
      <c r="FL184" s="60"/>
      <c r="FM184" s="60"/>
      <c r="FN184" s="60"/>
      <c r="FO184" s="60"/>
      <c r="FP184" s="60"/>
      <c r="FQ184" s="60"/>
      <c r="FR184" s="60"/>
      <c r="FS184" s="60"/>
      <c r="FT184" s="60"/>
      <c r="FU184" s="60"/>
      <c r="FV184" s="60"/>
      <c r="FW184" s="60"/>
      <c r="FX184" s="60"/>
      <c r="FY184" s="60"/>
      <c r="FZ184" s="60"/>
      <c r="GA184" s="60"/>
      <c r="GB184" s="60"/>
      <c r="GC184" s="60"/>
      <c r="GD184" s="60"/>
      <c r="GE184" s="60"/>
      <c r="GF184" s="60"/>
      <c r="GG184" s="60"/>
      <c r="GH184" s="60"/>
      <c r="GI184" s="60"/>
      <c r="GJ184" s="60"/>
      <c r="GK184" s="60"/>
      <c r="GL184" s="60"/>
      <c r="GM184" s="60"/>
      <c r="GN184" s="60"/>
      <c r="GO184" s="60"/>
      <c r="GP184" s="60"/>
      <c r="GQ184" s="60"/>
      <c r="GR184" s="60"/>
      <c r="GS184" s="60"/>
      <c r="GT184" s="60"/>
      <c r="GU184" s="60"/>
      <c r="GV184" s="60"/>
      <c r="GW184" s="60"/>
      <c r="GX184" s="60"/>
      <c r="GY184" s="60"/>
      <c r="GZ184" s="60"/>
      <c r="HA184" s="60"/>
      <c r="HB184" s="60"/>
      <c r="HC184" s="60"/>
      <c r="HD184" s="60"/>
      <c r="HE184" s="60"/>
      <c r="HF184" s="60"/>
      <c r="HG184" s="60"/>
      <c r="HH184" s="60"/>
      <c r="HI184" s="60"/>
      <c r="HJ184" s="60"/>
      <c r="HK184" s="60"/>
      <c r="HL184" s="60"/>
      <c r="HM184" s="60"/>
      <c r="HN184" s="60"/>
      <c r="HO184" s="60"/>
      <c r="HP184" s="60"/>
      <c r="HQ184" s="60"/>
      <c r="HR184" s="60"/>
      <c r="HS184" s="60"/>
      <c r="HT184" s="60"/>
      <c r="HU184" s="60"/>
      <c r="HV184" s="60"/>
      <c r="HW184" s="60"/>
    </row>
    <row r="185" spans="1:231" s="347" customFormat="1" ht="15.75">
      <c r="A185" s="175" t="s">
        <v>821</v>
      </c>
      <c r="B185" s="377" t="s">
        <v>967</v>
      </c>
      <c r="C185" s="378"/>
      <c r="D185" s="178"/>
      <c r="E185" s="178"/>
      <c r="F185" s="379"/>
      <c r="G185" s="380"/>
      <c r="H185" s="380"/>
      <c r="I185" s="381"/>
      <c r="J185" s="381"/>
      <c r="K185" s="380"/>
      <c r="L185" s="382"/>
      <c r="M185" s="383"/>
      <c r="N185" s="384"/>
      <c r="O185" s="371"/>
      <c r="P185" s="172">
        <f t="shared" si="13"/>
        <v>0</v>
      </c>
      <c r="Q185" s="172">
        <f t="shared" si="14"/>
        <v>0</v>
      </c>
      <c r="R185" s="371"/>
      <c r="S185" s="371"/>
      <c r="T185" s="371"/>
      <c r="U185" s="371"/>
      <c r="V185" s="371"/>
      <c r="W185" s="371"/>
      <c r="X185" s="371"/>
      <c r="Y185" s="371"/>
      <c r="Z185" s="371"/>
      <c r="AA185" s="371"/>
      <c r="AB185" s="371"/>
      <c r="AC185" s="371"/>
      <c r="AD185" s="371"/>
      <c r="AE185" s="371"/>
      <c r="AF185" s="371"/>
      <c r="AG185" s="371"/>
      <c r="AH185" s="371"/>
      <c r="AI185" s="371"/>
      <c r="AJ185" s="371"/>
      <c r="AK185" s="371"/>
      <c r="AL185" s="371"/>
      <c r="AM185" s="371"/>
      <c r="AN185" s="371"/>
      <c r="AO185" s="371"/>
      <c r="AP185" s="371"/>
      <c r="AQ185" s="371"/>
      <c r="AR185" s="371"/>
      <c r="AS185" s="371"/>
      <c r="AT185" s="371"/>
      <c r="AU185" s="371"/>
      <c r="AV185" s="371"/>
      <c r="AW185" s="371"/>
      <c r="AX185" s="371"/>
      <c r="AY185" s="371"/>
      <c r="AZ185" s="371"/>
      <c r="BA185" s="371"/>
      <c r="BB185" s="371"/>
      <c r="BC185" s="371"/>
      <c r="BD185" s="371"/>
      <c r="BE185" s="371"/>
      <c r="BF185" s="371"/>
      <c r="BG185" s="371"/>
      <c r="BH185" s="371"/>
      <c r="BI185" s="371"/>
      <c r="BJ185" s="371"/>
      <c r="BK185" s="371"/>
      <c r="BL185" s="371"/>
      <c r="BM185" s="371"/>
      <c r="BN185" s="371"/>
      <c r="BO185" s="371"/>
      <c r="BP185" s="371"/>
      <c r="BQ185" s="371"/>
      <c r="BR185" s="371"/>
      <c r="BS185" s="371"/>
      <c r="BT185" s="371"/>
      <c r="BU185" s="371"/>
      <c r="BV185" s="371"/>
      <c r="BW185" s="371"/>
      <c r="BX185" s="371"/>
      <c r="BY185" s="371"/>
      <c r="BZ185" s="371"/>
      <c r="CA185" s="371"/>
      <c r="CB185" s="371"/>
      <c r="CC185" s="371"/>
      <c r="CD185" s="371"/>
      <c r="CE185" s="371"/>
      <c r="CF185" s="371"/>
      <c r="CG185" s="371"/>
      <c r="CH185" s="371"/>
      <c r="CI185" s="371"/>
      <c r="CJ185" s="371"/>
      <c r="CK185" s="371"/>
      <c r="CL185" s="371"/>
      <c r="CM185" s="371"/>
      <c r="CN185" s="371"/>
      <c r="CO185" s="371"/>
      <c r="CP185" s="371"/>
      <c r="CQ185" s="371"/>
      <c r="CR185" s="371"/>
      <c r="CS185" s="371"/>
      <c r="CT185" s="371"/>
      <c r="CU185" s="371"/>
      <c r="CV185" s="371"/>
      <c r="CW185" s="371"/>
      <c r="CX185" s="371"/>
      <c r="CY185" s="371"/>
      <c r="CZ185" s="371"/>
      <c r="DA185" s="371"/>
      <c r="DB185" s="371"/>
      <c r="DC185" s="371"/>
      <c r="DD185" s="371"/>
      <c r="DE185" s="371"/>
      <c r="DF185" s="371"/>
      <c r="DG185" s="371"/>
      <c r="DH185" s="371"/>
      <c r="DI185" s="371"/>
      <c r="DJ185" s="371"/>
      <c r="DK185" s="371"/>
      <c r="DL185" s="371"/>
      <c r="DM185" s="371"/>
      <c r="DN185" s="371"/>
      <c r="DO185" s="371"/>
      <c r="DP185" s="371"/>
      <c r="DQ185" s="371"/>
      <c r="DR185" s="371"/>
      <c r="DS185" s="371"/>
      <c r="DT185" s="371"/>
      <c r="DU185" s="371"/>
      <c r="DV185" s="371"/>
      <c r="DW185" s="371"/>
      <c r="DX185" s="371"/>
      <c r="DY185" s="371"/>
      <c r="DZ185" s="371"/>
      <c r="EA185" s="371"/>
      <c r="EB185" s="371"/>
      <c r="EC185" s="371"/>
      <c r="ED185" s="371"/>
      <c r="EE185" s="371"/>
      <c r="EF185" s="371"/>
      <c r="EG185" s="371"/>
      <c r="EH185" s="371"/>
      <c r="EI185" s="371"/>
      <c r="EJ185" s="371"/>
      <c r="EK185" s="371"/>
      <c r="EL185" s="371"/>
      <c r="EM185" s="371"/>
      <c r="EN185" s="371"/>
      <c r="EO185" s="371"/>
      <c r="EP185" s="371"/>
      <c r="EQ185" s="371"/>
      <c r="ER185" s="371"/>
      <c r="ES185" s="371"/>
      <c r="ET185" s="371"/>
      <c r="EU185" s="371"/>
      <c r="EV185" s="371"/>
      <c r="EW185" s="371"/>
      <c r="EX185" s="371"/>
      <c r="EY185" s="371"/>
      <c r="EZ185" s="371"/>
      <c r="FA185" s="371"/>
      <c r="FB185" s="371"/>
      <c r="FC185" s="371"/>
      <c r="FD185" s="371"/>
      <c r="FE185" s="371"/>
      <c r="FF185" s="371"/>
      <c r="FG185" s="371"/>
      <c r="FH185" s="371"/>
      <c r="FI185" s="371"/>
      <c r="FJ185" s="371"/>
      <c r="FK185" s="371"/>
      <c r="FL185" s="371"/>
      <c r="FM185" s="371"/>
      <c r="FN185" s="371"/>
      <c r="FO185" s="371"/>
      <c r="FP185" s="371"/>
      <c r="FQ185" s="371"/>
      <c r="FR185" s="371"/>
      <c r="FS185" s="371"/>
      <c r="FT185" s="371"/>
      <c r="FU185" s="371"/>
      <c r="FV185" s="371"/>
      <c r="FW185" s="371"/>
      <c r="FX185" s="371"/>
      <c r="FY185" s="371"/>
      <c r="FZ185" s="371"/>
      <c r="GA185" s="371"/>
      <c r="GB185" s="371"/>
      <c r="GC185" s="371"/>
      <c r="GD185" s="371"/>
      <c r="GE185" s="371"/>
      <c r="GF185" s="371"/>
      <c r="GG185" s="371"/>
      <c r="GH185" s="371"/>
      <c r="GI185" s="371"/>
      <c r="GJ185" s="371"/>
      <c r="GK185" s="371"/>
      <c r="GL185" s="371"/>
      <c r="GM185" s="371"/>
      <c r="GN185" s="371"/>
      <c r="GO185" s="371"/>
      <c r="GP185" s="371"/>
      <c r="GQ185" s="371"/>
      <c r="GR185" s="371"/>
      <c r="GS185" s="371"/>
      <c r="GT185" s="371"/>
      <c r="GU185" s="371"/>
      <c r="GV185" s="371"/>
      <c r="GW185" s="371"/>
      <c r="GX185" s="371"/>
      <c r="GY185" s="371"/>
      <c r="GZ185" s="371"/>
      <c r="HA185" s="371"/>
      <c r="HB185" s="371"/>
      <c r="HC185" s="371"/>
      <c r="HD185" s="371"/>
      <c r="HE185" s="371"/>
      <c r="HF185" s="371"/>
      <c r="HG185" s="371"/>
      <c r="HH185" s="371"/>
      <c r="HI185" s="371"/>
      <c r="HJ185" s="371"/>
      <c r="HK185" s="371"/>
      <c r="HL185" s="371"/>
      <c r="HM185" s="371"/>
      <c r="HN185" s="371"/>
      <c r="HO185" s="371"/>
      <c r="HP185" s="371"/>
      <c r="HQ185" s="371"/>
      <c r="HR185" s="371"/>
      <c r="HS185" s="371"/>
      <c r="HT185" s="371"/>
      <c r="HU185" s="371"/>
      <c r="HV185" s="371"/>
      <c r="HW185" s="371"/>
    </row>
    <row r="186" spans="1:231" s="12" customFormat="1" ht="38.25">
      <c r="A186" s="10">
        <v>1</v>
      </c>
      <c r="B186" s="255" t="s">
        <v>486</v>
      </c>
      <c r="C186" s="270" t="s">
        <v>44</v>
      </c>
      <c r="D186" s="170">
        <v>2012</v>
      </c>
      <c r="E186" s="170">
        <v>2014</v>
      </c>
      <c r="F186" s="159" t="s">
        <v>487</v>
      </c>
      <c r="G186" s="288">
        <v>3109</v>
      </c>
      <c r="H186" s="288">
        <v>3109</v>
      </c>
      <c r="I186" s="288">
        <v>2722</v>
      </c>
      <c r="J186" s="288">
        <v>2722</v>
      </c>
      <c r="K186" s="288">
        <v>387</v>
      </c>
      <c r="L186" s="36" t="s">
        <v>968</v>
      </c>
      <c r="M186" s="221"/>
      <c r="P186" s="172">
        <f t="shared" si="13"/>
        <v>3109</v>
      </c>
      <c r="Q186" s="172">
        <f t="shared" si="14"/>
        <v>3109</v>
      </c>
    </row>
    <row r="187" spans="1:231" s="12" customFormat="1" ht="31.5">
      <c r="A187" s="10">
        <v>2</v>
      </c>
      <c r="B187" s="184" t="s">
        <v>478</v>
      </c>
      <c r="C187" s="352" t="s">
        <v>9</v>
      </c>
      <c r="D187" s="170">
        <v>2013</v>
      </c>
      <c r="E187" s="170">
        <v>2015</v>
      </c>
      <c r="F187" s="385" t="s">
        <v>480</v>
      </c>
      <c r="G187" s="286">
        <v>4902</v>
      </c>
      <c r="H187" s="285">
        <v>3432</v>
      </c>
      <c r="I187" s="204">
        <v>2500</v>
      </c>
      <c r="J187" s="204">
        <v>2500</v>
      </c>
      <c r="K187" s="386">
        <v>589</v>
      </c>
      <c r="L187" s="281" t="s">
        <v>969</v>
      </c>
      <c r="M187" s="282"/>
      <c r="N187" s="387"/>
      <c r="O187" s="387"/>
      <c r="P187" s="172">
        <f t="shared" si="13"/>
        <v>3089</v>
      </c>
      <c r="Q187" s="172">
        <f t="shared" si="14"/>
        <v>3089</v>
      </c>
      <c r="R187" s="387"/>
      <c r="S187" s="387"/>
      <c r="T187" s="387"/>
      <c r="U187" s="387"/>
      <c r="V187" s="387"/>
      <c r="W187" s="387"/>
      <c r="X187" s="387"/>
      <c r="Y187" s="387"/>
      <c r="Z187" s="387"/>
      <c r="AA187" s="387"/>
      <c r="AB187" s="387"/>
      <c r="AC187" s="387"/>
      <c r="AD187" s="387"/>
      <c r="AE187" s="387"/>
      <c r="AF187" s="387"/>
      <c r="AG187" s="387"/>
      <c r="AH187" s="387"/>
      <c r="AI187" s="387"/>
      <c r="AJ187" s="387"/>
      <c r="AK187" s="387"/>
      <c r="AL187" s="387"/>
      <c r="AM187" s="387"/>
      <c r="AN187" s="387"/>
      <c r="AO187" s="387"/>
      <c r="AP187" s="387"/>
      <c r="AQ187" s="387"/>
      <c r="AR187" s="387"/>
      <c r="AS187" s="387"/>
      <c r="AT187" s="387"/>
      <c r="AU187" s="387"/>
      <c r="AV187" s="387"/>
      <c r="AW187" s="387"/>
      <c r="AX187" s="387"/>
      <c r="AY187" s="387"/>
      <c r="AZ187" s="387"/>
      <c r="BA187" s="387"/>
      <c r="BB187" s="387"/>
      <c r="BC187" s="387"/>
      <c r="BD187" s="387"/>
      <c r="BE187" s="387"/>
      <c r="BF187" s="387"/>
      <c r="BG187" s="387"/>
      <c r="BH187" s="387"/>
      <c r="BI187" s="387"/>
      <c r="BJ187" s="387"/>
      <c r="BK187" s="387"/>
      <c r="BL187" s="387"/>
      <c r="BM187" s="387"/>
      <c r="BN187" s="387"/>
      <c r="BO187" s="387"/>
      <c r="BP187" s="387"/>
      <c r="BQ187" s="387"/>
      <c r="BR187" s="387"/>
      <c r="BS187" s="387"/>
      <c r="BT187" s="387"/>
      <c r="BU187" s="387"/>
      <c r="BV187" s="387"/>
      <c r="BW187" s="387"/>
      <c r="BX187" s="387"/>
      <c r="BY187" s="387"/>
      <c r="BZ187" s="387"/>
      <c r="CA187" s="387"/>
      <c r="CB187" s="387"/>
      <c r="CC187" s="387"/>
      <c r="CD187" s="387"/>
      <c r="CE187" s="387"/>
      <c r="CF187" s="387"/>
      <c r="CG187" s="387"/>
      <c r="CH187" s="387"/>
      <c r="CI187" s="387"/>
      <c r="CJ187" s="387"/>
      <c r="CK187" s="387"/>
      <c r="CL187" s="387"/>
      <c r="CM187" s="387"/>
      <c r="CN187" s="387"/>
      <c r="CO187" s="387"/>
      <c r="CP187" s="387"/>
      <c r="CQ187" s="387"/>
      <c r="CR187" s="387"/>
      <c r="CS187" s="387"/>
      <c r="CT187" s="387"/>
      <c r="CU187" s="387"/>
      <c r="CV187" s="387"/>
      <c r="CW187" s="387"/>
      <c r="CX187" s="387"/>
      <c r="CY187" s="387"/>
      <c r="CZ187" s="387"/>
      <c r="DA187" s="387"/>
      <c r="DB187" s="387"/>
      <c r="DC187" s="387"/>
      <c r="DD187" s="387"/>
      <c r="DE187" s="387"/>
      <c r="DF187" s="387"/>
      <c r="DG187" s="387"/>
      <c r="DH187" s="387"/>
      <c r="DI187" s="387"/>
      <c r="DJ187" s="387"/>
      <c r="DK187" s="387"/>
      <c r="DL187" s="387"/>
      <c r="DM187" s="387"/>
      <c r="DN187" s="387"/>
      <c r="DO187" s="387"/>
      <c r="DP187" s="387"/>
      <c r="DQ187" s="387"/>
      <c r="DR187" s="387"/>
      <c r="DS187" s="387"/>
      <c r="DT187" s="387"/>
      <c r="DU187" s="387"/>
      <c r="DV187" s="387"/>
      <c r="DW187" s="387"/>
      <c r="DX187" s="387"/>
      <c r="DY187" s="387"/>
      <c r="DZ187" s="387"/>
      <c r="EA187" s="387"/>
      <c r="EB187" s="387"/>
      <c r="EC187" s="387"/>
      <c r="ED187" s="387"/>
      <c r="EE187" s="387"/>
      <c r="EF187" s="387"/>
      <c r="EG187" s="387"/>
      <c r="EH187" s="387"/>
      <c r="EI187" s="387"/>
      <c r="EJ187" s="387"/>
      <c r="EK187" s="387"/>
      <c r="EL187" s="387"/>
      <c r="EM187" s="387"/>
      <c r="EN187" s="387"/>
      <c r="EO187" s="387"/>
      <c r="EP187" s="387"/>
      <c r="EQ187" s="387"/>
      <c r="ER187" s="387"/>
      <c r="ES187" s="387"/>
      <c r="ET187" s="387"/>
      <c r="EU187" s="387"/>
      <c r="EV187" s="387"/>
      <c r="EW187" s="387"/>
      <c r="EX187" s="387"/>
      <c r="EY187" s="387"/>
      <c r="EZ187" s="387"/>
      <c r="FA187" s="387"/>
      <c r="FB187" s="387"/>
      <c r="FC187" s="387"/>
      <c r="FD187" s="387"/>
      <c r="FE187" s="387"/>
      <c r="FF187" s="387"/>
      <c r="FG187" s="387"/>
      <c r="FH187" s="387"/>
      <c r="FI187" s="387"/>
      <c r="FJ187" s="387"/>
      <c r="FK187" s="387"/>
      <c r="FL187" s="387"/>
      <c r="FM187" s="387"/>
      <c r="FN187" s="387"/>
      <c r="FO187" s="387"/>
      <c r="FP187" s="387"/>
      <c r="FQ187" s="387"/>
      <c r="FR187" s="387"/>
      <c r="FS187" s="387"/>
      <c r="FT187" s="387"/>
      <c r="FU187" s="387"/>
      <c r="FV187" s="387"/>
      <c r="FW187" s="387"/>
      <c r="FX187" s="387"/>
      <c r="FY187" s="387"/>
      <c r="FZ187" s="387"/>
      <c r="GA187" s="387"/>
      <c r="GB187" s="387"/>
      <c r="GC187" s="387"/>
      <c r="GD187" s="387"/>
      <c r="GE187" s="387"/>
      <c r="GF187" s="387"/>
      <c r="GG187" s="387"/>
      <c r="GH187" s="387"/>
      <c r="GI187" s="387"/>
      <c r="GJ187" s="387"/>
      <c r="GK187" s="387"/>
      <c r="GL187" s="387"/>
      <c r="GM187" s="387"/>
      <c r="GN187" s="387"/>
      <c r="GO187" s="387"/>
      <c r="GP187" s="387"/>
      <c r="GQ187" s="387"/>
      <c r="GR187" s="387"/>
      <c r="GS187" s="387"/>
      <c r="GT187" s="387"/>
      <c r="GU187" s="387"/>
      <c r="GV187" s="387"/>
      <c r="GW187" s="387"/>
      <c r="GX187" s="387"/>
      <c r="GY187" s="387"/>
      <c r="GZ187" s="387"/>
      <c r="HA187" s="387"/>
      <c r="HB187" s="387"/>
      <c r="HC187" s="387"/>
      <c r="HD187" s="387"/>
      <c r="HE187" s="387"/>
      <c r="HF187" s="387"/>
      <c r="HG187" s="387"/>
      <c r="HH187" s="387"/>
      <c r="HI187" s="387"/>
      <c r="HJ187" s="387"/>
      <c r="HK187" s="387"/>
      <c r="HL187" s="266"/>
      <c r="HM187" s="266"/>
      <c r="HN187" s="266"/>
      <c r="HO187" s="266"/>
      <c r="HP187" s="266"/>
      <c r="HQ187" s="266"/>
      <c r="HR187" s="266"/>
      <c r="HS187" s="266"/>
      <c r="HT187" s="266"/>
      <c r="HU187" s="266"/>
      <c r="HV187" s="266"/>
      <c r="HW187" s="266"/>
    </row>
    <row r="188" spans="1:231" s="8" customFormat="1" ht="47.25">
      <c r="A188" s="10">
        <v>3</v>
      </c>
      <c r="B188" s="13" t="s">
        <v>117</v>
      </c>
      <c r="C188" s="388" t="s">
        <v>44</v>
      </c>
      <c r="D188" s="3">
        <v>2014</v>
      </c>
      <c r="E188" s="3">
        <v>2016</v>
      </c>
      <c r="F188" s="389" t="s">
        <v>118</v>
      </c>
      <c r="G188" s="35">
        <v>7933</v>
      </c>
      <c r="H188" s="35">
        <v>7933</v>
      </c>
      <c r="I188" s="35">
        <f>4800+1548</f>
        <v>6348</v>
      </c>
      <c r="J188" s="35">
        <f>I188</f>
        <v>6348</v>
      </c>
      <c r="K188" s="35">
        <v>1548</v>
      </c>
      <c r="L188" s="36" t="s">
        <v>906</v>
      </c>
      <c r="M188" s="221"/>
      <c r="N188" s="318" t="s">
        <v>970</v>
      </c>
      <c r="P188" s="172">
        <f t="shared" si="13"/>
        <v>7896</v>
      </c>
      <c r="Q188" s="172">
        <f t="shared" si="14"/>
        <v>7896</v>
      </c>
    </row>
    <row r="189" spans="1:231" s="12" customFormat="1" ht="63">
      <c r="A189" s="168">
        <v>4</v>
      </c>
      <c r="B189" s="169" t="s">
        <v>143</v>
      </c>
      <c r="C189" s="4" t="s">
        <v>9</v>
      </c>
      <c r="D189" s="170">
        <v>2014</v>
      </c>
      <c r="E189" s="170">
        <v>2016</v>
      </c>
      <c r="F189" s="390" t="s">
        <v>144</v>
      </c>
      <c r="G189" s="288">
        <v>15239</v>
      </c>
      <c r="H189" s="288">
        <v>15239</v>
      </c>
      <c r="I189" s="288">
        <v>11500</v>
      </c>
      <c r="J189" s="288">
        <v>11500</v>
      </c>
      <c r="K189" s="288">
        <v>2215</v>
      </c>
      <c r="L189" s="281" t="s">
        <v>592</v>
      </c>
      <c r="M189" s="282"/>
      <c r="P189" s="172">
        <f t="shared" si="13"/>
        <v>13715</v>
      </c>
      <c r="Q189" s="172">
        <f t="shared" si="14"/>
        <v>13715</v>
      </c>
    </row>
    <row r="190" spans="1:231" s="12" customFormat="1" ht="31.5">
      <c r="A190" s="168">
        <v>5</v>
      </c>
      <c r="B190" s="391" t="s">
        <v>101</v>
      </c>
      <c r="C190" s="4" t="s">
        <v>9</v>
      </c>
      <c r="D190" s="170">
        <v>2014</v>
      </c>
      <c r="E190" s="170">
        <v>2016</v>
      </c>
      <c r="F190" s="390" t="s">
        <v>102</v>
      </c>
      <c r="G190" s="288">
        <v>26135</v>
      </c>
      <c r="H190" s="288">
        <v>16135</v>
      </c>
      <c r="I190" s="288">
        <v>23800</v>
      </c>
      <c r="J190" s="288">
        <v>13800</v>
      </c>
      <c r="K190" s="288">
        <v>721</v>
      </c>
      <c r="L190" s="11" t="s">
        <v>971</v>
      </c>
      <c r="M190" s="173"/>
      <c r="P190" s="172">
        <f t="shared" si="13"/>
        <v>24521</v>
      </c>
      <c r="Q190" s="172">
        <f t="shared" si="14"/>
        <v>14521</v>
      </c>
    </row>
    <row r="191" spans="1:231" s="12" customFormat="1" ht="25.5">
      <c r="A191" s="10">
        <v>6</v>
      </c>
      <c r="B191" s="255" t="s">
        <v>107</v>
      </c>
      <c r="C191" s="262" t="s">
        <v>49</v>
      </c>
      <c r="D191" s="170">
        <v>2014</v>
      </c>
      <c r="E191" s="170">
        <v>2016</v>
      </c>
      <c r="F191" s="392" t="s">
        <v>108</v>
      </c>
      <c r="G191" s="288">
        <v>32732</v>
      </c>
      <c r="H191" s="288">
        <v>27732</v>
      </c>
      <c r="I191" s="288">
        <v>21550</v>
      </c>
      <c r="J191" s="288">
        <v>15000</v>
      </c>
      <c r="K191" s="354">
        <f>2924</f>
        <v>2924</v>
      </c>
      <c r="L191" s="36" t="s">
        <v>972</v>
      </c>
      <c r="M191" s="221" t="s">
        <v>973</v>
      </c>
      <c r="P191" s="172">
        <f t="shared" si="13"/>
        <v>24474</v>
      </c>
      <c r="Q191" s="172">
        <f t="shared" si="14"/>
        <v>17924</v>
      </c>
    </row>
    <row r="192" spans="1:231" s="8" customFormat="1" ht="25.5">
      <c r="A192" s="10">
        <v>7</v>
      </c>
      <c r="B192" s="119" t="s">
        <v>121</v>
      </c>
      <c r="C192" s="393" t="s">
        <v>49</v>
      </c>
      <c r="D192" s="3">
        <v>2015</v>
      </c>
      <c r="E192" s="3">
        <v>2017</v>
      </c>
      <c r="F192" s="394" t="s">
        <v>122</v>
      </c>
      <c r="G192" s="35">
        <v>4957</v>
      </c>
      <c r="H192" s="35">
        <f>G192</f>
        <v>4957</v>
      </c>
      <c r="I192" s="35">
        <v>3856</v>
      </c>
      <c r="J192" s="35">
        <v>3856</v>
      </c>
      <c r="K192" s="35">
        <v>483</v>
      </c>
      <c r="L192" s="395" t="s">
        <v>974</v>
      </c>
      <c r="M192" s="396"/>
      <c r="P192" s="172">
        <f t="shared" si="13"/>
        <v>4339</v>
      </c>
      <c r="Q192" s="172">
        <f t="shared" si="14"/>
        <v>4339</v>
      </c>
    </row>
    <row r="193" spans="1:231" s="12" customFormat="1" ht="47.25">
      <c r="A193" s="10">
        <v>8</v>
      </c>
      <c r="B193" s="184" t="s">
        <v>479</v>
      </c>
      <c r="C193" s="352" t="s">
        <v>9</v>
      </c>
      <c r="D193" s="170">
        <v>2015</v>
      </c>
      <c r="E193" s="170">
        <v>2017</v>
      </c>
      <c r="F193" s="385" t="s">
        <v>481</v>
      </c>
      <c r="G193" s="286">
        <v>4581</v>
      </c>
      <c r="H193" s="285">
        <f>G193*0.7</f>
        <v>3206.7</v>
      </c>
      <c r="I193" s="204">
        <v>2000</v>
      </c>
      <c r="J193" s="204">
        <v>2000</v>
      </c>
      <c r="K193" s="386">
        <v>886</v>
      </c>
      <c r="L193" s="281" t="s">
        <v>969</v>
      </c>
      <c r="M193" s="282"/>
      <c r="N193" s="387"/>
      <c r="O193" s="387"/>
      <c r="P193" s="172">
        <f t="shared" si="13"/>
        <v>2886</v>
      </c>
      <c r="Q193" s="172">
        <f t="shared" si="14"/>
        <v>2886</v>
      </c>
      <c r="R193" s="387"/>
      <c r="S193" s="387"/>
      <c r="T193" s="387"/>
      <c r="U193" s="387"/>
      <c r="V193" s="387"/>
      <c r="W193" s="387"/>
      <c r="X193" s="387"/>
      <c r="Y193" s="387"/>
      <c r="Z193" s="387"/>
      <c r="AA193" s="387"/>
      <c r="AB193" s="387"/>
      <c r="AC193" s="387"/>
      <c r="AD193" s="387"/>
      <c r="AE193" s="387"/>
      <c r="AF193" s="387"/>
      <c r="AG193" s="387"/>
      <c r="AH193" s="387"/>
      <c r="AI193" s="387"/>
      <c r="AJ193" s="387"/>
      <c r="AK193" s="387"/>
      <c r="AL193" s="387"/>
      <c r="AM193" s="387"/>
      <c r="AN193" s="387"/>
      <c r="AO193" s="387"/>
      <c r="AP193" s="387"/>
      <c r="AQ193" s="387"/>
      <c r="AR193" s="387"/>
      <c r="AS193" s="387"/>
      <c r="AT193" s="387"/>
      <c r="AU193" s="387"/>
      <c r="AV193" s="387"/>
      <c r="AW193" s="387"/>
      <c r="AX193" s="387"/>
      <c r="AY193" s="387"/>
      <c r="AZ193" s="387"/>
      <c r="BA193" s="387"/>
      <c r="BB193" s="387"/>
      <c r="BC193" s="387"/>
      <c r="BD193" s="387"/>
      <c r="BE193" s="387"/>
      <c r="BF193" s="387"/>
      <c r="BG193" s="387"/>
      <c r="BH193" s="387"/>
      <c r="BI193" s="387"/>
      <c r="BJ193" s="387"/>
      <c r="BK193" s="387"/>
      <c r="BL193" s="387"/>
      <c r="BM193" s="387"/>
      <c r="BN193" s="387"/>
      <c r="BO193" s="387"/>
      <c r="BP193" s="387"/>
      <c r="BQ193" s="387"/>
      <c r="BR193" s="387"/>
      <c r="BS193" s="387"/>
      <c r="BT193" s="387"/>
      <c r="BU193" s="387"/>
      <c r="BV193" s="387"/>
      <c r="BW193" s="387"/>
      <c r="BX193" s="387"/>
      <c r="BY193" s="387"/>
      <c r="BZ193" s="387"/>
      <c r="CA193" s="387"/>
      <c r="CB193" s="387"/>
      <c r="CC193" s="387"/>
      <c r="CD193" s="387"/>
      <c r="CE193" s="387"/>
      <c r="CF193" s="387"/>
      <c r="CG193" s="387"/>
      <c r="CH193" s="387"/>
      <c r="CI193" s="387"/>
      <c r="CJ193" s="387"/>
      <c r="CK193" s="387"/>
      <c r="CL193" s="387"/>
      <c r="CM193" s="387"/>
      <c r="CN193" s="387"/>
      <c r="CO193" s="387"/>
      <c r="CP193" s="387"/>
      <c r="CQ193" s="387"/>
      <c r="CR193" s="387"/>
      <c r="CS193" s="387"/>
      <c r="CT193" s="387"/>
      <c r="CU193" s="387"/>
      <c r="CV193" s="387"/>
      <c r="CW193" s="387"/>
      <c r="CX193" s="387"/>
      <c r="CY193" s="387"/>
      <c r="CZ193" s="387"/>
      <c r="DA193" s="387"/>
      <c r="DB193" s="387"/>
      <c r="DC193" s="387"/>
      <c r="DD193" s="387"/>
      <c r="DE193" s="387"/>
      <c r="DF193" s="387"/>
      <c r="DG193" s="387"/>
      <c r="DH193" s="387"/>
      <c r="DI193" s="387"/>
      <c r="DJ193" s="387"/>
      <c r="DK193" s="387"/>
      <c r="DL193" s="387"/>
      <c r="DM193" s="387"/>
      <c r="DN193" s="387"/>
      <c r="DO193" s="387"/>
      <c r="DP193" s="387"/>
      <c r="DQ193" s="387"/>
      <c r="DR193" s="387"/>
      <c r="DS193" s="387"/>
      <c r="DT193" s="387"/>
      <c r="DU193" s="387"/>
      <c r="DV193" s="387"/>
      <c r="DW193" s="387"/>
      <c r="DX193" s="387"/>
      <c r="DY193" s="387"/>
      <c r="DZ193" s="387"/>
      <c r="EA193" s="387"/>
      <c r="EB193" s="387"/>
      <c r="EC193" s="387"/>
      <c r="ED193" s="387"/>
      <c r="EE193" s="387"/>
      <c r="EF193" s="387"/>
      <c r="EG193" s="387"/>
      <c r="EH193" s="387"/>
      <c r="EI193" s="387"/>
      <c r="EJ193" s="387"/>
      <c r="EK193" s="387"/>
      <c r="EL193" s="387"/>
      <c r="EM193" s="387"/>
      <c r="EN193" s="387"/>
      <c r="EO193" s="387"/>
      <c r="EP193" s="387"/>
      <c r="EQ193" s="387"/>
      <c r="ER193" s="387"/>
      <c r="ES193" s="387"/>
      <c r="ET193" s="387"/>
      <c r="EU193" s="387"/>
      <c r="EV193" s="387"/>
      <c r="EW193" s="387"/>
      <c r="EX193" s="387"/>
      <c r="EY193" s="387"/>
      <c r="EZ193" s="387"/>
      <c r="FA193" s="387"/>
      <c r="FB193" s="387"/>
      <c r="FC193" s="387"/>
      <c r="FD193" s="387"/>
      <c r="FE193" s="387"/>
      <c r="FF193" s="387"/>
      <c r="FG193" s="387"/>
      <c r="FH193" s="387"/>
      <c r="FI193" s="387"/>
      <c r="FJ193" s="387"/>
      <c r="FK193" s="387"/>
      <c r="FL193" s="387"/>
      <c r="FM193" s="387"/>
      <c r="FN193" s="387"/>
      <c r="FO193" s="387"/>
      <c r="FP193" s="387"/>
      <c r="FQ193" s="387"/>
      <c r="FR193" s="387"/>
      <c r="FS193" s="387"/>
      <c r="FT193" s="387"/>
      <c r="FU193" s="387"/>
      <c r="FV193" s="387"/>
      <c r="FW193" s="387"/>
      <c r="FX193" s="387"/>
      <c r="FY193" s="387"/>
      <c r="FZ193" s="387"/>
      <c r="GA193" s="387"/>
      <c r="GB193" s="387"/>
      <c r="GC193" s="387"/>
      <c r="GD193" s="387"/>
      <c r="GE193" s="387"/>
      <c r="GF193" s="387"/>
      <c r="GG193" s="387"/>
      <c r="GH193" s="387"/>
      <c r="GI193" s="387"/>
      <c r="GJ193" s="387"/>
      <c r="GK193" s="387"/>
      <c r="GL193" s="387"/>
      <c r="GM193" s="387"/>
      <c r="GN193" s="387"/>
      <c r="GO193" s="387"/>
      <c r="GP193" s="387"/>
      <c r="GQ193" s="387"/>
      <c r="GR193" s="387"/>
      <c r="GS193" s="387"/>
      <c r="GT193" s="387"/>
      <c r="GU193" s="387"/>
      <c r="GV193" s="387"/>
      <c r="GW193" s="387"/>
      <c r="GX193" s="387"/>
      <c r="GY193" s="387"/>
      <c r="GZ193" s="387"/>
      <c r="HA193" s="387"/>
      <c r="HB193" s="387"/>
      <c r="HC193" s="387"/>
      <c r="HD193" s="387"/>
      <c r="HE193" s="387"/>
      <c r="HF193" s="387"/>
      <c r="HG193" s="387"/>
      <c r="HH193" s="387"/>
      <c r="HI193" s="387"/>
      <c r="HJ193" s="387"/>
      <c r="HK193" s="387"/>
      <c r="HL193" s="266"/>
      <c r="HM193" s="266"/>
      <c r="HN193" s="266"/>
      <c r="HO193" s="266"/>
      <c r="HP193" s="266"/>
      <c r="HQ193" s="266"/>
      <c r="HR193" s="266"/>
      <c r="HS193" s="266"/>
      <c r="HT193" s="266"/>
      <c r="HU193" s="266"/>
      <c r="HV193" s="266"/>
      <c r="HW193" s="266"/>
    </row>
    <row r="194" spans="1:231" s="8" customFormat="1" ht="31.5">
      <c r="A194" s="10">
        <v>9</v>
      </c>
      <c r="B194" s="13" t="s">
        <v>123</v>
      </c>
      <c r="C194" s="388" t="s">
        <v>44</v>
      </c>
      <c r="D194" s="3">
        <v>2015</v>
      </c>
      <c r="E194" s="3">
        <v>2017</v>
      </c>
      <c r="F194" s="389" t="s">
        <v>124</v>
      </c>
      <c r="G194" s="35">
        <v>4632</v>
      </c>
      <c r="H194" s="35">
        <v>4632</v>
      </c>
      <c r="I194" s="35">
        <v>2934</v>
      </c>
      <c r="J194" s="35">
        <f>I194</f>
        <v>2934</v>
      </c>
      <c r="K194" s="123">
        <f>1235</f>
        <v>1235</v>
      </c>
      <c r="L194" s="36" t="s">
        <v>860</v>
      </c>
      <c r="M194" s="221" t="s">
        <v>1252</v>
      </c>
      <c r="N194" s="305" t="s">
        <v>975</v>
      </c>
      <c r="P194" s="172">
        <f t="shared" si="13"/>
        <v>4169</v>
      </c>
      <c r="Q194" s="172">
        <f t="shared" si="14"/>
        <v>4169</v>
      </c>
    </row>
    <row r="195" spans="1:231" s="8" customFormat="1" ht="38.25">
      <c r="A195" s="10">
        <v>10</v>
      </c>
      <c r="B195" s="120" t="s">
        <v>125</v>
      </c>
      <c r="C195" s="218" t="s">
        <v>10</v>
      </c>
      <c r="D195" s="3">
        <v>2015</v>
      </c>
      <c r="E195" s="3">
        <v>2017</v>
      </c>
      <c r="F195" s="397" t="s">
        <v>633</v>
      </c>
      <c r="G195" s="35">
        <v>4636</v>
      </c>
      <c r="H195" s="35">
        <f>G195</f>
        <v>4636</v>
      </c>
      <c r="I195" s="35">
        <v>2636</v>
      </c>
      <c r="J195" s="35">
        <v>2636</v>
      </c>
      <c r="K195" s="35">
        <v>1536</v>
      </c>
      <c r="L195" s="36" t="s">
        <v>976</v>
      </c>
      <c r="M195" s="221"/>
      <c r="P195" s="172">
        <f t="shared" si="13"/>
        <v>4172</v>
      </c>
      <c r="Q195" s="172">
        <f t="shared" si="14"/>
        <v>4172</v>
      </c>
    </row>
    <row r="196" spans="1:231" s="8" customFormat="1" ht="38.25">
      <c r="A196" s="10">
        <v>11</v>
      </c>
      <c r="B196" s="121" t="s">
        <v>126</v>
      </c>
      <c r="C196" s="398" t="s">
        <v>49</v>
      </c>
      <c r="D196" s="3">
        <v>2015</v>
      </c>
      <c r="E196" s="3">
        <v>2017</v>
      </c>
      <c r="F196" s="390" t="s">
        <v>127</v>
      </c>
      <c r="G196" s="35">
        <v>6410</v>
      </c>
      <c r="H196" s="35">
        <f>G196</f>
        <v>6410</v>
      </c>
      <c r="I196" s="35">
        <v>2066</v>
      </c>
      <c r="J196" s="35">
        <v>2066</v>
      </c>
      <c r="K196" s="35">
        <v>1472</v>
      </c>
      <c r="L196" s="36" t="s">
        <v>866</v>
      </c>
      <c r="M196" s="221"/>
      <c r="P196" s="172">
        <f t="shared" si="13"/>
        <v>3538</v>
      </c>
      <c r="Q196" s="172">
        <f t="shared" si="14"/>
        <v>3538</v>
      </c>
    </row>
    <row r="197" spans="1:231" s="305" customFormat="1" ht="31.5">
      <c r="A197" s="10">
        <v>12</v>
      </c>
      <c r="B197" s="13" t="s">
        <v>119</v>
      </c>
      <c r="C197" s="228" t="s">
        <v>17</v>
      </c>
      <c r="D197" s="3">
        <v>2015</v>
      </c>
      <c r="E197" s="3">
        <v>2017</v>
      </c>
      <c r="F197" s="389" t="s">
        <v>120</v>
      </c>
      <c r="G197" s="35">
        <v>6507</v>
      </c>
      <c r="H197" s="35">
        <v>6507</v>
      </c>
      <c r="I197" s="35">
        <v>4474</v>
      </c>
      <c r="J197" s="35">
        <v>4474</v>
      </c>
      <c r="K197" s="35">
        <v>1673</v>
      </c>
      <c r="L197" s="36" t="s">
        <v>977</v>
      </c>
      <c r="M197" s="221"/>
      <c r="N197" s="318">
        <f>I197+K197</f>
        <v>6147</v>
      </c>
      <c r="O197" s="8"/>
      <c r="P197" s="172">
        <f t="shared" si="13"/>
        <v>6147</v>
      </c>
      <c r="Q197" s="172">
        <f t="shared" si="14"/>
        <v>6147</v>
      </c>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c r="CX197" s="8"/>
      <c r="CY197" s="8"/>
      <c r="CZ197" s="8"/>
      <c r="DA197" s="8"/>
      <c r="DB197" s="8"/>
      <c r="DC197" s="8"/>
      <c r="DD197" s="8"/>
      <c r="DE197" s="8"/>
      <c r="DF197" s="8"/>
      <c r="DG197" s="8"/>
      <c r="DH197" s="8"/>
      <c r="DI197" s="8"/>
      <c r="DJ197" s="8"/>
      <c r="DK197" s="8"/>
      <c r="DL197" s="8"/>
      <c r="DM197" s="8"/>
      <c r="DN197" s="8"/>
      <c r="DO197" s="8"/>
      <c r="DP197" s="8"/>
      <c r="DQ197" s="8"/>
      <c r="DR197" s="8"/>
      <c r="DS197" s="8"/>
      <c r="DT197" s="8"/>
      <c r="DU197" s="8"/>
      <c r="DV197" s="8"/>
      <c r="DW197" s="8"/>
      <c r="DX197" s="8"/>
      <c r="DY197" s="8"/>
      <c r="DZ197" s="8"/>
      <c r="EA197" s="8"/>
      <c r="EB197" s="8"/>
      <c r="EC197" s="8"/>
      <c r="ED197" s="8"/>
      <c r="EE197" s="8"/>
      <c r="EF197" s="8"/>
      <c r="EG197" s="8"/>
      <c r="EH197" s="8"/>
      <c r="EI197" s="8"/>
      <c r="EJ197" s="8"/>
      <c r="EK197" s="8"/>
      <c r="EL197" s="8"/>
      <c r="EM197" s="8"/>
      <c r="EN197" s="8"/>
      <c r="EO197" s="8"/>
      <c r="EP197" s="8"/>
      <c r="EQ197" s="8"/>
      <c r="ER197" s="8"/>
      <c r="ES197" s="8"/>
      <c r="ET197" s="8"/>
      <c r="EU197" s="8"/>
      <c r="EV197" s="8"/>
      <c r="EW197" s="8"/>
      <c r="EX197" s="8"/>
      <c r="EY197" s="8"/>
      <c r="EZ197" s="8"/>
      <c r="FA197" s="8"/>
      <c r="FB197" s="8"/>
      <c r="FC197" s="8"/>
      <c r="FD197" s="8"/>
      <c r="FE197" s="8"/>
      <c r="FF197" s="8"/>
      <c r="FG197" s="8"/>
      <c r="FH197" s="8"/>
      <c r="FI197" s="8"/>
      <c r="FJ197" s="8"/>
      <c r="FK197" s="8"/>
      <c r="FL197" s="8"/>
      <c r="FM197" s="8"/>
      <c r="FN197" s="8"/>
      <c r="FO197" s="8"/>
      <c r="FP197" s="8"/>
      <c r="FQ197" s="8"/>
      <c r="FR197" s="8"/>
      <c r="FS197" s="8"/>
      <c r="FT197" s="8"/>
      <c r="FU197" s="8"/>
      <c r="FV197" s="8"/>
      <c r="FW197" s="8"/>
      <c r="FX197" s="8"/>
      <c r="FY197" s="8"/>
      <c r="FZ197" s="8"/>
      <c r="GA197" s="8"/>
      <c r="GB197" s="8"/>
      <c r="GC197" s="8"/>
      <c r="GD197" s="8"/>
      <c r="GE197" s="8"/>
      <c r="GF197" s="8"/>
      <c r="GG197" s="8"/>
      <c r="GH197" s="8"/>
      <c r="GI197" s="8"/>
      <c r="GJ197" s="8"/>
      <c r="GK197" s="8"/>
      <c r="GL197" s="8"/>
      <c r="GM197" s="8"/>
      <c r="GN197" s="8"/>
      <c r="GO197" s="8"/>
      <c r="GP197" s="8"/>
      <c r="GQ197" s="8"/>
      <c r="GR197" s="8"/>
      <c r="GS197" s="8"/>
      <c r="GT197" s="8"/>
      <c r="GU197" s="8"/>
      <c r="GV197" s="8"/>
      <c r="GW197" s="8"/>
      <c r="GX197" s="8"/>
      <c r="GY197" s="8"/>
      <c r="GZ197" s="8"/>
      <c r="HA197" s="8"/>
      <c r="HB197" s="8"/>
      <c r="HC197" s="8"/>
      <c r="HD197" s="8"/>
      <c r="HE197" s="8"/>
      <c r="HF197" s="8"/>
      <c r="HG197" s="8"/>
      <c r="HH197" s="8"/>
      <c r="HI197" s="8"/>
      <c r="HJ197" s="8"/>
      <c r="HK197" s="8"/>
      <c r="HL197" s="8"/>
      <c r="HM197" s="8"/>
      <c r="HN197" s="8"/>
      <c r="HO197" s="8"/>
      <c r="HP197" s="8"/>
      <c r="HQ197" s="8"/>
      <c r="HR197" s="8"/>
      <c r="HS197" s="8"/>
      <c r="HT197" s="8"/>
      <c r="HU197" s="8"/>
      <c r="HV197" s="8"/>
      <c r="HW197" s="8"/>
    </row>
    <row r="198" spans="1:231" s="8" customFormat="1" ht="25.5">
      <c r="A198" s="168">
        <v>13</v>
      </c>
      <c r="B198" s="63" t="s">
        <v>139</v>
      </c>
      <c r="C198" s="228" t="s">
        <v>49</v>
      </c>
      <c r="D198" s="3">
        <v>2015</v>
      </c>
      <c r="E198" s="3">
        <v>2017</v>
      </c>
      <c r="F198" s="399" t="s">
        <v>140</v>
      </c>
      <c r="G198" s="35">
        <v>10300</v>
      </c>
      <c r="H198" s="35">
        <f>G198</f>
        <v>10300</v>
      </c>
      <c r="I198" s="35">
        <v>7285</v>
      </c>
      <c r="J198" s="35">
        <f>I198</f>
        <v>7285</v>
      </c>
      <c r="K198" s="35">
        <v>1985</v>
      </c>
      <c r="L198" s="36" t="s">
        <v>836</v>
      </c>
      <c r="M198" s="221"/>
      <c r="P198" s="172">
        <f t="shared" si="13"/>
        <v>9270</v>
      </c>
      <c r="Q198" s="172">
        <f t="shared" si="14"/>
        <v>9270</v>
      </c>
    </row>
    <row r="199" spans="1:231" s="14" customFormat="1" ht="47.25">
      <c r="A199" s="168">
        <v>14</v>
      </c>
      <c r="B199" s="169" t="s">
        <v>109</v>
      </c>
      <c r="C199" s="4" t="s">
        <v>33</v>
      </c>
      <c r="D199" s="170">
        <v>2015</v>
      </c>
      <c r="E199" s="170">
        <v>2017</v>
      </c>
      <c r="F199" s="185" t="s">
        <v>110</v>
      </c>
      <c r="G199" s="288">
        <v>19000</v>
      </c>
      <c r="H199" s="288">
        <v>8656</v>
      </c>
      <c r="I199" s="288">
        <v>12844</v>
      </c>
      <c r="J199" s="288">
        <v>4500</v>
      </c>
      <c r="K199" s="288">
        <v>4256</v>
      </c>
      <c r="L199" s="36" t="s">
        <v>978</v>
      </c>
      <c r="M199" s="221"/>
      <c r="N199" s="12"/>
      <c r="O199" s="12"/>
      <c r="P199" s="172">
        <f t="shared" si="13"/>
        <v>17100</v>
      </c>
      <c r="Q199" s="172">
        <f t="shared" si="14"/>
        <v>8756</v>
      </c>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c r="BF199" s="12"/>
      <c r="BG199" s="12"/>
      <c r="BH199" s="12"/>
      <c r="BI199" s="12"/>
      <c r="BJ199" s="12"/>
      <c r="BK199" s="12"/>
      <c r="BL199" s="12"/>
      <c r="BM199" s="12"/>
      <c r="BN199" s="12"/>
      <c r="BO199" s="12"/>
      <c r="BP199" s="12"/>
      <c r="BQ199" s="12"/>
      <c r="BR199" s="12"/>
      <c r="BS199" s="12"/>
      <c r="BT199" s="12"/>
      <c r="BU199" s="12"/>
      <c r="BV199" s="12"/>
      <c r="BW199" s="12"/>
      <c r="BX199" s="12"/>
      <c r="BY199" s="12"/>
      <c r="BZ199" s="12"/>
      <c r="CA199" s="12"/>
      <c r="CB199" s="12"/>
      <c r="CC199" s="12"/>
      <c r="CD199" s="12"/>
      <c r="CE199" s="12"/>
      <c r="CF199" s="12"/>
      <c r="CG199" s="12"/>
      <c r="CH199" s="12"/>
      <c r="CI199" s="12"/>
      <c r="CJ199" s="12"/>
      <c r="CK199" s="12"/>
      <c r="CL199" s="12"/>
      <c r="CM199" s="12"/>
      <c r="CN199" s="12"/>
      <c r="CO199" s="12"/>
      <c r="CP199" s="12"/>
      <c r="CQ199" s="12"/>
      <c r="CR199" s="12"/>
      <c r="CS199" s="12"/>
      <c r="CT199" s="12"/>
      <c r="CU199" s="12"/>
      <c r="CV199" s="12"/>
      <c r="CW199" s="12"/>
      <c r="CX199" s="12"/>
      <c r="CY199" s="12"/>
      <c r="CZ199" s="12"/>
      <c r="DA199" s="12"/>
      <c r="DB199" s="12"/>
      <c r="DC199" s="12"/>
      <c r="DD199" s="12"/>
      <c r="DE199" s="12"/>
      <c r="DF199" s="12"/>
      <c r="DG199" s="12"/>
      <c r="DH199" s="12"/>
      <c r="DI199" s="12"/>
      <c r="DJ199" s="12"/>
      <c r="DK199" s="12"/>
      <c r="DL199" s="12"/>
      <c r="DM199" s="12"/>
      <c r="DN199" s="12"/>
      <c r="DO199" s="12"/>
      <c r="DP199" s="12"/>
      <c r="DQ199" s="12"/>
      <c r="DR199" s="12"/>
      <c r="DS199" s="12"/>
      <c r="DT199" s="12"/>
      <c r="DU199" s="12"/>
      <c r="DV199" s="12"/>
      <c r="DW199" s="12"/>
      <c r="DX199" s="12"/>
      <c r="DY199" s="12"/>
      <c r="DZ199" s="12"/>
      <c r="EA199" s="12"/>
      <c r="EB199" s="12"/>
      <c r="EC199" s="12"/>
      <c r="ED199" s="12"/>
      <c r="EE199" s="12"/>
      <c r="EF199" s="12"/>
      <c r="EG199" s="12"/>
      <c r="EH199" s="12"/>
      <c r="EI199" s="12"/>
      <c r="EJ199" s="12"/>
      <c r="EK199" s="12"/>
      <c r="EL199" s="12"/>
      <c r="EM199" s="12"/>
      <c r="EN199" s="12"/>
      <c r="EO199" s="12"/>
      <c r="EP199" s="12"/>
      <c r="EQ199" s="12"/>
      <c r="ER199" s="12"/>
      <c r="ES199" s="12"/>
      <c r="ET199" s="12"/>
      <c r="EU199" s="12"/>
      <c r="EV199" s="12"/>
      <c r="EW199" s="12"/>
      <c r="EX199" s="12"/>
      <c r="EY199" s="12"/>
      <c r="EZ199" s="12"/>
      <c r="FA199" s="12"/>
      <c r="FB199" s="12"/>
      <c r="FC199" s="12"/>
      <c r="FD199" s="12"/>
      <c r="FE199" s="12"/>
      <c r="FF199" s="12"/>
      <c r="FG199" s="12"/>
      <c r="FH199" s="12"/>
      <c r="FI199" s="12"/>
      <c r="FJ199" s="12"/>
      <c r="FK199" s="12"/>
      <c r="FL199" s="12"/>
      <c r="FM199" s="12"/>
      <c r="FN199" s="12"/>
      <c r="FO199" s="12"/>
      <c r="FP199" s="12"/>
      <c r="FQ199" s="12"/>
      <c r="FR199" s="12"/>
      <c r="FS199" s="12"/>
      <c r="FT199" s="12"/>
      <c r="FU199" s="12"/>
      <c r="FV199" s="12"/>
      <c r="FW199" s="12"/>
      <c r="FX199" s="12"/>
      <c r="FY199" s="12"/>
      <c r="FZ199" s="12"/>
      <c r="GA199" s="12"/>
      <c r="GB199" s="12"/>
      <c r="GC199" s="12"/>
      <c r="GD199" s="12"/>
      <c r="GE199" s="12"/>
      <c r="GF199" s="12"/>
      <c r="GG199" s="12"/>
      <c r="GH199" s="12"/>
      <c r="GI199" s="12"/>
      <c r="GJ199" s="12"/>
      <c r="GK199" s="12"/>
      <c r="GL199" s="12"/>
      <c r="GM199" s="12"/>
      <c r="GN199" s="12"/>
      <c r="GO199" s="12"/>
      <c r="GP199" s="12"/>
      <c r="GQ199" s="12"/>
      <c r="GR199" s="12"/>
      <c r="GS199" s="12"/>
      <c r="GT199" s="12"/>
      <c r="GU199" s="12"/>
      <c r="GV199" s="12"/>
      <c r="GW199" s="12"/>
      <c r="GX199" s="12"/>
      <c r="GY199" s="12"/>
      <c r="GZ199" s="12"/>
      <c r="HA199" s="12"/>
      <c r="HB199" s="12"/>
      <c r="HC199" s="12"/>
      <c r="HD199" s="12"/>
      <c r="HE199" s="12"/>
      <c r="HF199" s="12"/>
      <c r="HG199" s="12"/>
      <c r="HH199" s="12"/>
      <c r="HI199" s="12"/>
      <c r="HJ199" s="12"/>
      <c r="HK199" s="12"/>
      <c r="HL199" s="12"/>
      <c r="HM199" s="12"/>
      <c r="HN199" s="12"/>
      <c r="HO199" s="12"/>
      <c r="HP199" s="12"/>
      <c r="HQ199" s="12"/>
      <c r="HR199" s="12"/>
      <c r="HS199" s="12"/>
      <c r="HT199" s="12"/>
      <c r="HU199" s="12"/>
      <c r="HV199" s="12"/>
      <c r="HW199" s="12"/>
    </row>
    <row r="200" spans="1:231" s="8" customFormat="1" ht="31.5">
      <c r="A200" s="10">
        <v>15</v>
      </c>
      <c r="B200" s="122" t="s">
        <v>103</v>
      </c>
      <c r="C200" s="2" t="s">
        <v>33</v>
      </c>
      <c r="D200" s="3">
        <v>2014</v>
      </c>
      <c r="E200" s="3">
        <v>2017</v>
      </c>
      <c r="F200" s="400" t="s">
        <v>104</v>
      </c>
      <c r="G200" s="35">
        <v>29392</v>
      </c>
      <c r="H200" s="35">
        <v>29392</v>
      </c>
      <c r="I200" s="35">
        <v>21336</v>
      </c>
      <c r="J200" s="35">
        <f>I200</f>
        <v>21336</v>
      </c>
      <c r="K200" s="35">
        <v>5117</v>
      </c>
      <c r="L200" s="36" t="s">
        <v>934</v>
      </c>
      <c r="M200" s="221"/>
      <c r="P200" s="172">
        <f t="shared" si="13"/>
        <v>26453</v>
      </c>
      <c r="Q200" s="172">
        <f t="shared" si="14"/>
        <v>26453</v>
      </c>
    </row>
    <row r="201" spans="1:231" s="8" customFormat="1" ht="31.5">
      <c r="A201" s="10">
        <v>16</v>
      </c>
      <c r="B201" s="13" t="s">
        <v>99</v>
      </c>
      <c r="C201" s="388" t="s">
        <v>49</v>
      </c>
      <c r="D201" s="3">
        <v>2015</v>
      </c>
      <c r="E201" s="3">
        <v>2017</v>
      </c>
      <c r="F201" s="389" t="s">
        <v>100</v>
      </c>
      <c r="G201" s="35">
        <v>23156</v>
      </c>
      <c r="H201" s="35">
        <f>G201</f>
        <v>23156</v>
      </c>
      <c r="I201" s="35">
        <v>11756</v>
      </c>
      <c r="J201" s="35">
        <f>I201</f>
        <v>11756</v>
      </c>
      <c r="K201" s="35">
        <v>7084</v>
      </c>
      <c r="L201" s="36" t="s">
        <v>588</v>
      </c>
      <c r="M201" s="221"/>
      <c r="P201" s="172">
        <f t="shared" si="13"/>
        <v>18840</v>
      </c>
      <c r="Q201" s="172">
        <f t="shared" si="14"/>
        <v>18840</v>
      </c>
    </row>
    <row r="202" spans="1:231" s="8" customFormat="1" ht="15.75">
      <c r="A202" s="175" t="s">
        <v>825</v>
      </c>
      <c r="B202" s="377" t="s">
        <v>522</v>
      </c>
      <c r="C202" s="388"/>
      <c r="D202" s="3"/>
      <c r="E202" s="3"/>
      <c r="F202" s="389"/>
      <c r="G202" s="35"/>
      <c r="H202" s="35"/>
      <c r="I202" s="35"/>
      <c r="J202" s="35"/>
      <c r="K202" s="35"/>
      <c r="L202" s="36"/>
      <c r="M202" s="221"/>
      <c r="P202" s="172">
        <f t="shared" si="13"/>
        <v>0</v>
      </c>
      <c r="Q202" s="172">
        <f t="shared" si="14"/>
        <v>0</v>
      </c>
    </row>
    <row r="203" spans="1:231" s="8" customFormat="1" ht="71.25" customHeight="1">
      <c r="A203" s="10">
        <v>1</v>
      </c>
      <c r="B203" s="401" t="s">
        <v>495</v>
      </c>
      <c r="C203" s="402" t="s">
        <v>979</v>
      </c>
      <c r="D203" s="3">
        <v>2017</v>
      </c>
      <c r="E203" s="3">
        <v>2018</v>
      </c>
      <c r="F203" s="312" t="s">
        <v>497</v>
      </c>
      <c r="G203" s="403">
        <v>3473</v>
      </c>
      <c r="H203" s="403">
        <v>3473</v>
      </c>
      <c r="I203" s="314">
        <v>2895</v>
      </c>
      <c r="J203" s="314">
        <v>2895</v>
      </c>
      <c r="K203" s="403">
        <v>230</v>
      </c>
      <c r="L203" s="315" t="s">
        <v>980</v>
      </c>
      <c r="M203" s="316"/>
      <c r="N203" s="404"/>
      <c r="O203" s="289"/>
      <c r="P203" s="172">
        <f t="shared" si="13"/>
        <v>3125</v>
      </c>
      <c r="Q203" s="172">
        <f t="shared" si="14"/>
        <v>3125</v>
      </c>
      <c r="R203" s="289"/>
      <c r="S203" s="289"/>
      <c r="T203" s="289"/>
      <c r="U203" s="289"/>
      <c r="V203" s="289"/>
      <c r="W203" s="289"/>
      <c r="X203" s="289"/>
      <c r="Y203" s="289"/>
      <c r="Z203" s="289"/>
      <c r="AA203" s="289"/>
      <c r="AB203" s="289"/>
      <c r="AC203" s="289"/>
      <c r="AD203" s="289"/>
      <c r="AE203" s="289"/>
      <c r="AF203" s="289"/>
      <c r="AG203" s="289"/>
      <c r="AH203" s="289"/>
      <c r="AI203" s="289"/>
      <c r="AJ203" s="289"/>
      <c r="AK203" s="289"/>
      <c r="AL203" s="289"/>
      <c r="AM203" s="289"/>
      <c r="AN203" s="289"/>
      <c r="AO203" s="289"/>
      <c r="AP203" s="289"/>
      <c r="AQ203" s="289"/>
      <c r="AR203" s="289"/>
      <c r="AS203" s="289"/>
      <c r="AT203" s="289"/>
      <c r="AU203" s="289"/>
      <c r="AV203" s="289"/>
      <c r="AW203" s="289"/>
      <c r="AX203" s="289"/>
      <c r="AY203" s="289"/>
      <c r="AZ203" s="289"/>
      <c r="BA203" s="289"/>
      <c r="BB203" s="289"/>
      <c r="BC203" s="289"/>
      <c r="BD203" s="289"/>
      <c r="BE203" s="289"/>
      <c r="BF203" s="289"/>
      <c r="BG203" s="289"/>
      <c r="BH203" s="289"/>
      <c r="BI203" s="289"/>
      <c r="BJ203" s="289"/>
      <c r="BK203" s="289"/>
      <c r="BL203" s="289"/>
      <c r="BM203" s="289"/>
      <c r="BN203" s="289"/>
      <c r="BO203" s="289"/>
      <c r="BP203" s="289"/>
      <c r="BQ203" s="289"/>
      <c r="BR203" s="289"/>
      <c r="BS203" s="289"/>
      <c r="BT203" s="289"/>
      <c r="BU203" s="289"/>
      <c r="BV203" s="289"/>
      <c r="BW203" s="289"/>
      <c r="BX203" s="289"/>
      <c r="BY203" s="289"/>
      <c r="BZ203" s="289"/>
      <c r="CA203" s="289"/>
      <c r="CB203" s="289"/>
      <c r="CC203" s="289"/>
      <c r="CD203" s="289"/>
      <c r="CE203" s="289"/>
      <c r="CF203" s="289"/>
      <c r="CG203" s="289"/>
      <c r="CH203" s="289"/>
      <c r="CI203" s="289"/>
      <c r="CJ203" s="289"/>
      <c r="CK203" s="289"/>
      <c r="CL203" s="289"/>
      <c r="CM203" s="289"/>
      <c r="CN203" s="289"/>
      <c r="CO203" s="289"/>
      <c r="CP203" s="289"/>
      <c r="CQ203" s="289"/>
      <c r="CR203" s="289"/>
      <c r="CS203" s="289"/>
      <c r="CT203" s="289"/>
      <c r="CU203" s="289"/>
      <c r="CV203" s="289"/>
      <c r="CW203" s="289"/>
      <c r="CX203" s="289"/>
      <c r="CY203" s="289"/>
      <c r="CZ203" s="289"/>
      <c r="DA203" s="289"/>
      <c r="DB203" s="289"/>
      <c r="DC203" s="289"/>
      <c r="DD203" s="289"/>
      <c r="DE203" s="289"/>
      <c r="DF203" s="289"/>
      <c r="DG203" s="289"/>
      <c r="DH203" s="289"/>
      <c r="DI203" s="289"/>
      <c r="DJ203" s="289"/>
      <c r="DK203" s="289"/>
      <c r="DL203" s="289"/>
      <c r="DM203" s="289"/>
      <c r="DN203" s="289"/>
      <c r="DO203" s="289"/>
      <c r="DP203" s="289"/>
      <c r="DQ203" s="289"/>
      <c r="DR203" s="289"/>
      <c r="DS203" s="289"/>
      <c r="DT203" s="289"/>
      <c r="DU203" s="289"/>
      <c r="DV203" s="289"/>
      <c r="DW203" s="289"/>
      <c r="DX203" s="289"/>
      <c r="DY203" s="289"/>
      <c r="DZ203" s="289"/>
      <c r="EA203" s="289"/>
      <c r="EB203" s="289"/>
      <c r="EC203" s="289"/>
      <c r="ED203" s="289"/>
      <c r="EE203" s="289"/>
      <c r="EF203" s="289"/>
      <c r="EG203" s="289"/>
      <c r="EH203" s="289"/>
      <c r="EI203" s="289"/>
      <c r="EJ203" s="289"/>
      <c r="EK203" s="289"/>
      <c r="EL203" s="289"/>
      <c r="EM203" s="289"/>
      <c r="EN203" s="289"/>
      <c r="EO203" s="289"/>
      <c r="EP203" s="289"/>
      <c r="EQ203" s="289"/>
      <c r="ER203" s="289"/>
      <c r="ES203" s="289"/>
      <c r="ET203" s="289"/>
      <c r="EU203" s="289"/>
      <c r="EV203" s="289"/>
      <c r="EW203" s="289"/>
      <c r="EX203" s="289"/>
      <c r="EY203" s="289"/>
      <c r="EZ203" s="289"/>
      <c r="FA203" s="289"/>
      <c r="FB203" s="289"/>
      <c r="FC203" s="289"/>
      <c r="FD203" s="289"/>
      <c r="FE203" s="289"/>
      <c r="FF203" s="289"/>
      <c r="FG203" s="289"/>
      <c r="FH203" s="289"/>
      <c r="FI203" s="289"/>
      <c r="FJ203" s="289"/>
      <c r="FK203" s="289"/>
      <c r="FL203" s="289"/>
      <c r="FM203" s="289"/>
      <c r="FN203" s="289"/>
      <c r="FO203" s="289"/>
      <c r="FP203" s="289"/>
      <c r="FQ203" s="289"/>
      <c r="FR203" s="289"/>
      <c r="FS203" s="289"/>
      <c r="FT203" s="289"/>
      <c r="FU203" s="289"/>
      <c r="FV203" s="289"/>
      <c r="FW203" s="289"/>
      <c r="FX203" s="289"/>
      <c r="FY203" s="289"/>
      <c r="FZ203" s="289"/>
      <c r="GA203" s="289"/>
      <c r="GB203" s="289"/>
      <c r="GC203" s="289"/>
      <c r="GD203" s="289"/>
      <c r="GE203" s="289"/>
      <c r="GF203" s="289"/>
      <c r="GG203" s="289"/>
      <c r="GH203" s="289"/>
      <c r="GI203" s="289"/>
      <c r="GJ203" s="289"/>
      <c r="GK203" s="289"/>
      <c r="GL203" s="289"/>
      <c r="GM203" s="289"/>
      <c r="GN203" s="289"/>
      <c r="GO203" s="289"/>
      <c r="GP203" s="289"/>
      <c r="GQ203" s="289"/>
      <c r="GR203" s="289"/>
      <c r="GS203" s="289"/>
      <c r="GT203" s="289"/>
      <c r="GU203" s="289"/>
      <c r="GV203" s="289"/>
      <c r="GW203" s="289"/>
      <c r="GX203" s="289"/>
      <c r="GY203" s="289"/>
      <c r="GZ203" s="289"/>
      <c r="HA203" s="289"/>
      <c r="HB203" s="289"/>
      <c r="HC203" s="289"/>
      <c r="HD203" s="289"/>
      <c r="HE203" s="289"/>
      <c r="HF203" s="289"/>
      <c r="HG203" s="289"/>
      <c r="HH203" s="289"/>
      <c r="HI203" s="289"/>
      <c r="HJ203" s="289"/>
      <c r="HK203" s="289"/>
      <c r="HL203" s="289"/>
      <c r="HM203" s="289"/>
      <c r="HN203" s="289"/>
      <c r="HO203" s="289"/>
      <c r="HP203" s="289"/>
      <c r="HQ203" s="289"/>
      <c r="HR203" s="289"/>
      <c r="HS203" s="289"/>
      <c r="HT203" s="289"/>
      <c r="HU203" s="289"/>
      <c r="HV203" s="289"/>
      <c r="HW203" s="289"/>
    </row>
    <row r="204" spans="1:231" s="12" customFormat="1" ht="31.5">
      <c r="A204" s="10">
        <v>2</v>
      </c>
      <c r="B204" s="169" t="s">
        <v>154</v>
      </c>
      <c r="C204" s="4" t="s">
        <v>9</v>
      </c>
      <c r="D204" s="170">
        <v>2016</v>
      </c>
      <c r="E204" s="170">
        <v>2018</v>
      </c>
      <c r="F204" s="405" t="s">
        <v>155</v>
      </c>
      <c r="G204" s="406">
        <v>2107</v>
      </c>
      <c r="H204" s="406">
        <v>2107</v>
      </c>
      <c r="I204" s="315">
        <v>1340</v>
      </c>
      <c r="J204" s="315">
        <f>I204</f>
        <v>1340</v>
      </c>
      <c r="K204" s="315">
        <v>556</v>
      </c>
      <c r="L204" s="315" t="s">
        <v>981</v>
      </c>
      <c r="M204" s="316"/>
      <c r="N204" s="289"/>
      <c r="O204" s="289"/>
      <c r="P204" s="172">
        <f t="shared" si="13"/>
        <v>1896</v>
      </c>
      <c r="Q204" s="172">
        <f t="shared" si="14"/>
        <v>1896</v>
      </c>
      <c r="R204" s="289"/>
      <c r="S204" s="289"/>
      <c r="T204" s="289"/>
      <c r="U204" s="289"/>
      <c r="V204" s="289"/>
      <c r="W204" s="289"/>
      <c r="X204" s="289"/>
      <c r="Y204" s="289"/>
      <c r="Z204" s="289"/>
      <c r="AA204" s="289"/>
      <c r="AB204" s="289"/>
      <c r="AC204" s="289"/>
      <c r="AD204" s="289"/>
      <c r="AE204" s="289"/>
      <c r="AF204" s="289"/>
      <c r="AG204" s="289"/>
      <c r="AH204" s="289"/>
      <c r="AI204" s="289"/>
      <c r="AJ204" s="289"/>
      <c r="AK204" s="289"/>
      <c r="AL204" s="289"/>
      <c r="AM204" s="289"/>
      <c r="AN204" s="289"/>
      <c r="AO204" s="289"/>
      <c r="AP204" s="289"/>
      <c r="AQ204" s="289"/>
      <c r="AR204" s="289"/>
      <c r="AS204" s="289"/>
      <c r="AT204" s="289"/>
      <c r="AU204" s="289"/>
      <c r="AV204" s="289"/>
      <c r="AW204" s="289"/>
      <c r="AX204" s="289"/>
      <c r="AY204" s="289"/>
      <c r="AZ204" s="289"/>
      <c r="BA204" s="289"/>
      <c r="BB204" s="289"/>
      <c r="BC204" s="289"/>
      <c r="BD204" s="289"/>
      <c r="BE204" s="289"/>
      <c r="BF204" s="289"/>
      <c r="BG204" s="289"/>
      <c r="BH204" s="289"/>
      <c r="BI204" s="289"/>
      <c r="BJ204" s="289"/>
      <c r="BK204" s="289"/>
      <c r="BL204" s="289"/>
      <c r="BM204" s="289"/>
      <c r="BN204" s="289"/>
      <c r="BO204" s="289"/>
      <c r="BP204" s="289"/>
      <c r="BQ204" s="289"/>
      <c r="BR204" s="289"/>
      <c r="BS204" s="289"/>
      <c r="BT204" s="289"/>
      <c r="BU204" s="289"/>
      <c r="BV204" s="289"/>
      <c r="BW204" s="289"/>
      <c r="BX204" s="289"/>
      <c r="BY204" s="289"/>
      <c r="BZ204" s="289"/>
      <c r="CA204" s="289"/>
      <c r="CB204" s="289"/>
      <c r="CC204" s="289"/>
      <c r="CD204" s="289"/>
      <c r="CE204" s="289"/>
      <c r="CF204" s="289"/>
      <c r="CG204" s="289"/>
      <c r="CH204" s="289"/>
      <c r="CI204" s="289"/>
      <c r="CJ204" s="289"/>
      <c r="CK204" s="289"/>
      <c r="CL204" s="289"/>
      <c r="CM204" s="289"/>
      <c r="CN204" s="289"/>
      <c r="CO204" s="289"/>
      <c r="CP204" s="289"/>
      <c r="CQ204" s="289"/>
      <c r="CR204" s="289"/>
      <c r="CS204" s="289"/>
      <c r="CT204" s="289"/>
      <c r="CU204" s="289"/>
      <c r="CV204" s="289"/>
      <c r="CW204" s="289"/>
      <c r="CX204" s="289"/>
      <c r="CY204" s="289"/>
      <c r="CZ204" s="289"/>
      <c r="DA204" s="289"/>
      <c r="DB204" s="289"/>
      <c r="DC204" s="289"/>
      <c r="DD204" s="289"/>
      <c r="DE204" s="289"/>
      <c r="DF204" s="289"/>
      <c r="DG204" s="289"/>
      <c r="DH204" s="289"/>
      <c r="DI204" s="289"/>
      <c r="DJ204" s="289"/>
      <c r="DK204" s="289"/>
      <c r="DL204" s="289"/>
      <c r="DM204" s="289"/>
      <c r="DN204" s="289"/>
      <c r="DO204" s="289"/>
      <c r="DP204" s="289"/>
      <c r="DQ204" s="289"/>
      <c r="DR204" s="289"/>
      <c r="DS204" s="289"/>
      <c r="DT204" s="289"/>
      <c r="DU204" s="289"/>
      <c r="DV204" s="289"/>
      <c r="DW204" s="289"/>
      <c r="DX204" s="289"/>
      <c r="DY204" s="289"/>
      <c r="DZ204" s="289"/>
      <c r="EA204" s="289"/>
      <c r="EB204" s="289"/>
      <c r="EC204" s="289"/>
      <c r="ED204" s="289"/>
      <c r="EE204" s="289"/>
      <c r="EF204" s="289"/>
      <c r="EG204" s="289"/>
      <c r="EH204" s="289"/>
      <c r="EI204" s="289"/>
      <c r="EJ204" s="289"/>
      <c r="EK204" s="289"/>
      <c r="EL204" s="289"/>
      <c r="EM204" s="289"/>
      <c r="EN204" s="289"/>
      <c r="EO204" s="289"/>
      <c r="EP204" s="289"/>
      <c r="EQ204" s="289"/>
      <c r="ER204" s="289"/>
      <c r="ES204" s="289"/>
      <c r="ET204" s="289"/>
      <c r="EU204" s="289"/>
      <c r="EV204" s="289"/>
      <c r="EW204" s="289"/>
      <c r="EX204" s="289"/>
      <c r="EY204" s="289"/>
      <c r="EZ204" s="289"/>
      <c r="FA204" s="289"/>
      <c r="FB204" s="289"/>
      <c r="FC204" s="289"/>
      <c r="FD204" s="289"/>
      <c r="FE204" s="289"/>
      <c r="FF204" s="289"/>
      <c r="FG204" s="289"/>
      <c r="FH204" s="289"/>
      <c r="FI204" s="289"/>
      <c r="FJ204" s="289"/>
      <c r="FK204" s="289"/>
      <c r="FL204" s="289"/>
      <c r="FM204" s="289"/>
      <c r="FN204" s="289"/>
      <c r="FO204" s="289"/>
      <c r="FP204" s="289"/>
      <c r="FQ204" s="289"/>
      <c r="FR204" s="289"/>
      <c r="FS204" s="289"/>
      <c r="FT204" s="289"/>
      <c r="FU204" s="289"/>
      <c r="FV204" s="289"/>
      <c r="FW204" s="289"/>
      <c r="FX204" s="289"/>
      <c r="FY204" s="289"/>
      <c r="FZ204" s="289"/>
      <c r="GA204" s="289"/>
      <c r="GB204" s="289"/>
      <c r="GC204" s="289"/>
      <c r="GD204" s="289"/>
      <c r="GE204" s="289"/>
      <c r="GF204" s="289"/>
      <c r="GG204" s="289"/>
      <c r="GH204" s="289"/>
      <c r="GI204" s="289"/>
      <c r="GJ204" s="289"/>
      <c r="GK204" s="289"/>
      <c r="GL204" s="289"/>
      <c r="GM204" s="289"/>
      <c r="GN204" s="289"/>
      <c r="GO204" s="289"/>
      <c r="GP204" s="289"/>
      <c r="GQ204" s="289"/>
      <c r="GR204" s="289"/>
      <c r="GS204" s="289"/>
      <c r="GT204" s="289"/>
      <c r="GU204" s="289"/>
      <c r="GV204" s="289"/>
      <c r="GW204" s="289"/>
      <c r="GX204" s="289"/>
      <c r="GY204" s="289"/>
      <c r="GZ204" s="289"/>
      <c r="HA204" s="289"/>
      <c r="HB204" s="289"/>
      <c r="HC204" s="289"/>
      <c r="HD204" s="289"/>
      <c r="HE204" s="289"/>
      <c r="HF204" s="289"/>
      <c r="HG204" s="289"/>
      <c r="HH204" s="289"/>
      <c r="HI204" s="289"/>
      <c r="HJ204" s="289"/>
      <c r="HK204" s="289"/>
      <c r="HL204" s="289"/>
      <c r="HM204" s="289"/>
      <c r="HN204" s="289"/>
      <c r="HO204" s="289"/>
      <c r="HP204" s="289"/>
      <c r="HQ204" s="289"/>
      <c r="HR204" s="289"/>
      <c r="HS204" s="289"/>
      <c r="HT204" s="289"/>
      <c r="HU204" s="289"/>
      <c r="HV204" s="289"/>
      <c r="HW204" s="289"/>
    </row>
    <row r="205" spans="1:231" s="15" customFormat="1" ht="31.5">
      <c r="A205" s="10">
        <v>3</v>
      </c>
      <c r="B205" s="13" t="s">
        <v>145</v>
      </c>
      <c r="C205" s="228" t="s">
        <v>17</v>
      </c>
      <c r="D205" s="407">
        <v>2016</v>
      </c>
      <c r="E205" s="408" t="s">
        <v>982</v>
      </c>
      <c r="F205" s="389" t="s">
        <v>146</v>
      </c>
      <c r="G205" s="313">
        <v>2900</v>
      </c>
      <c r="H205" s="313">
        <v>2900</v>
      </c>
      <c r="I205" s="313">
        <v>2000</v>
      </c>
      <c r="J205" s="313">
        <v>2000</v>
      </c>
      <c r="K205" s="313">
        <v>610</v>
      </c>
      <c r="L205" s="315" t="s">
        <v>922</v>
      </c>
      <c r="M205" s="316"/>
      <c r="P205" s="172">
        <f t="shared" si="13"/>
        <v>2610</v>
      </c>
      <c r="Q205" s="172">
        <f t="shared" si="14"/>
        <v>2610</v>
      </c>
    </row>
    <row r="206" spans="1:231" s="15" customFormat="1" ht="31.5">
      <c r="A206" s="10">
        <v>4</v>
      </c>
      <c r="B206" s="24" t="s">
        <v>159</v>
      </c>
      <c r="C206" s="409" t="s">
        <v>9</v>
      </c>
      <c r="D206" s="170">
        <v>2017</v>
      </c>
      <c r="E206" s="170">
        <v>2018</v>
      </c>
      <c r="F206" s="410" t="s">
        <v>482</v>
      </c>
      <c r="G206" s="313">
        <v>3190</v>
      </c>
      <c r="H206" s="313">
        <v>3190</v>
      </c>
      <c r="I206" s="313">
        <v>2000</v>
      </c>
      <c r="J206" s="313">
        <f>I206</f>
        <v>2000</v>
      </c>
      <c r="K206" s="313">
        <v>871</v>
      </c>
      <c r="L206" s="315" t="s">
        <v>983</v>
      </c>
      <c r="M206" s="316"/>
      <c r="P206" s="172">
        <f t="shared" ref="P206:P269" si="21">I206+K206</f>
        <v>2871</v>
      </c>
      <c r="Q206" s="172">
        <f t="shared" ref="Q206:Q269" si="22">J206+K206</f>
        <v>2871</v>
      </c>
    </row>
    <row r="207" spans="1:231" s="15" customFormat="1" ht="47.25">
      <c r="A207" s="168">
        <v>5</v>
      </c>
      <c r="B207" s="411" t="s">
        <v>137</v>
      </c>
      <c r="C207" s="409" t="s">
        <v>49</v>
      </c>
      <c r="D207" s="170">
        <v>2016</v>
      </c>
      <c r="E207" s="170">
        <v>2018</v>
      </c>
      <c r="F207" s="389" t="s">
        <v>138</v>
      </c>
      <c r="G207" s="313">
        <v>8900</v>
      </c>
      <c r="H207" s="313">
        <v>8900</v>
      </c>
      <c r="I207" s="313">
        <v>7100</v>
      </c>
      <c r="J207" s="313">
        <f>I207</f>
        <v>7100</v>
      </c>
      <c r="K207" s="313">
        <v>900</v>
      </c>
      <c r="L207" s="315" t="s">
        <v>972</v>
      </c>
      <c r="M207" s="316"/>
      <c r="P207" s="172">
        <f t="shared" si="21"/>
        <v>8000</v>
      </c>
      <c r="Q207" s="172">
        <f t="shared" si="22"/>
        <v>8000</v>
      </c>
    </row>
    <row r="208" spans="1:231" s="12" customFormat="1" ht="31.5">
      <c r="A208" s="10">
        <v>6</v>
      </c>
      <c r="B208" s="169" t="s">
        <v>152</v>
      </c>
      <c r="C208" s="352" t="s">
        <v>46</v>
      </c>
      <c r="D208" s="170">
        <v>2016</v>
      </c>
      <c r="E208" s="170">
        <v>2018</v>
      </c>
      <c r="F208" s="405" t="s">
        <v>153</v>
      </c>
      <c r="G208" s="406">
        <v>4358</v>
      </c>
      <c r="H208" s="406">
        <v>4358</v>
      </c>
      <c r="I208" s="315">
        <v>2360</v>
      </c>
      <c r="J208" s="315">
        <f>I208</f>
        <v>2360</v>
      </c>
      <c r="K208" s="315">
        <v>1562</v>
      </c>
      <c r="L208" s="315" t="s">
        <v>963</v>
      </c>
      <c r="M208" s="316"/>
      <c r="N208" s="289"/>
      <c r="O208" s="289"/>
      <c r="P208" s="172">
        <f t="shared" si="21"/>
        <v>3922</v>
      </c>
      <c r="Q208" s="172">
        <f t="shared" si="22"/>
        <v>3922</v>
      </c>
      <c r="R208" s="289"/>
      <c r="S208" s="289"/>
      <c r="T208" s="289"/>
      <c r="U208" s="289"/>
      <c r="V208" s="289"/>
      <c r="W208" s="289"/>
      <c r="X208" s="289"/>
      <c r="Y208" s="289"/>
      <c r="Z208" s="289"/>
      <c r="AA208" s="289"/>
      <c r="AB208" s="289"/>
      <c r="AC208" s="289"/>
      <c r="AD208" s="289"/>
      <c r="AE208" s="289"/>
      <c r="AF208" s="289"/>
      <c r="AG208" s="289"/>
      <c r="AH208" s="289"/>
      <c r="AI208" s="289"/>
      <c r="AJ208" s="289"/>
      <c r="AK208" s="289"/>
      <c r="AL208" s="289"/>
      <c r="AM208" s="289"/>
      <c r="AN208" s="289"/>
      <c r="AO208" s="289"/>
      <c r="AP208" s="289"/>
      <c r="AQ208" s="289"/>
      <c r="AR208" s="289"/>
      <c r="AS208" s="289"/>
      <c r="AT208" s="289"/>
      <c r="AU208" s="289"/>
      <c r="AV208" s="289"/>
      <c r="AW208" s="289"/>
      <c r="AX208" s="289"/>
      <c r="AY208" s="289"/>
      <c r="AZ208" s="289"/>
      <c r="BA208" s="289"/>
      <c r="BB208" s="289"/>
      <c r="BC208" s="289"/>
      <c r="BD208" s="289"/>
      <c r="BE208" s="289"/>
      <c r="BF208" s="289"/>
      <c r="BG208" s="289"/>
      <c r="BH208" s="289"/>
      <c r="BI208" s="289"/>
      <c r="BJ208" s="289"/>
      <c r="BK208" s="289"/>
      <c r="BL208" s="289"/>
      <c r="BM208" s="289"/>
      <c r="BN208" s="289"/>
      <c r="BO208" s="289"/>
      <c r="BP208" s="289"/>
      <c r="BQ208" s="289"/>
      <c r="BR208" s="289"/>
      <c r="BS208" s="289"/>
      <c r="BT208" s="289"/>
      <c r="BU208" s="289"/>
      <c r="BV208" s="289"/>
      <c r="BW208" s="289"/>
      <c r="BX208" s="289"/>
      <c r="BY208" s="289"/>
      <c r="BZ208" s="289"/>
      <c r="CA208" s="289"/>
      <c r="CB208" s="289"/>
      <c r="CC208" s="289"/>
      <c r="CD208" s="289"/>
      <c r="CE208" s="289"/>
      <c r="CF208" s="289"/>
      <c r="CG208" s="289"/>
      <c r="CH208" s="289"/>
      <c r="CI208" s="289"/>
      <c r="CJ208" s="289"/>
      <c r="CK208" s="289"/>
      <c r="CL208" s="289"/>
      <c r="CM208" s="289"/>
      <c r="CN208" s="289"/>
      <c r="CO208" s="289"/>
      <c r="CP208" s="289"/>
      <c r="CQ208" s="289"/>
      <c r="CR208" s="289"/>
      <c r="CS208" s="289"/>
      <c r="CT208" s="289"/>
      <c r="CU208" s="289"/>
      <c r="CV208" s="289"/>
      <c r="CW208" s="289"/>
      <c r="CX208" s="289"/>
      <c r="CY208" s="289"/>
      <c r="CZ208" s="289"/>
      <c r="DA208" s="289"/>
      <c r="DB208" s="289"/>
      <c r="DC208" s="289"/>
      <c r="DD208" s="289"/>
      <c r="DE208" s="289"/>
      <c r="DF208" s="289"/>
      <c r="DG208" s="289"/>
      <c r="DH208" s="289"/>
      <c r="DI208" s="289"/>
      <c r="DJ208" s="289"/>
      <c r="DK208" s="289"/>
      <c r="DL208" s="289"/>
      <c r="DM208" s="289"/>
      <c r="DN208" s="289"/>
      <c r="DO208" s="289"/>
      <c r="DP208" s="289"/>
      <c r="DQ208" s="289"/>
      <c r="DR208" s="289"/>
      <c r="DS208" s="289"/>
      <c r="DT208" s="289"/>
      <c r="DU208" s="289"/>
      <c r="DV208" s="289"/>
      <c r="DW208" s="289"/>
      <c r="DX208" s="289"/>
      <c r="DY208" s="289"/>
      <c r="DZ208" s="289"/>
      <c r="EA208" s="289"/>
      <c r="EB208" s="289"/>
      <c r="EC208" s="289"/>
      <c r="ED208" s="289"/>
      <c r="EE208" s="289"/>
      <c r="EF208" s="289"/>
      <c r="EG208" s="289"/>
      <c r="EH208" s="289"/>
      <c r="EI208" s="289"/>
      <c r="EJ208" s="289"/>
      <c r="EK208" s="289"/>
      <c r="EL208" s="289"/>
      <c r="EM208" s="289"/>
      <c r="EN208" s="289"/>
      <c r="EO208" s="289"/>
      <c r="EP208" s="289"/>
      <c r="EQ208" s="289"/>
      <c r="ER208" s="289"/>
      <c r="ES208" s="289"/>
      <c r="ET208" s="289"/>
      <c r="EU208" s="289"/>
      <c r="EV208" s="289"/>
      <c r="EW208" s="289"/>
      <c r="EX208" s="289"/>
      <c r="EY208" s="289"/>
      <c r="EZ208" s="289"/>
      <c r="FA208" s="289"/>
      <c r="FB208" s="289"/>
      <c r="FC208" s="289"/>
      <c r="FD208" s="289"/>
      <c r="FE208" s="289"/>
      <c r="FF208" s="289"/>
      <c r="FG208" s="289"/>
      <c r="FH208" s="289"/>
      <c r="FI208" s="289"/>
      <c r="FJ208" s="289"/>
      <c r="FK208" s="289"/>
      <c r="FL208" s="289"/>
      <c r="FM208" s="289"/>
      <c r="FN208" s="289"/>
      <c r="FO208" s="289"/>
      <c r="FP208" s="289"/>
      <c r="FQ208" s="289"/>
      <c r="FR208" s="289"/>
      <c r="FS208" s="289"/>
      <c r="FT208" s="289"/>
      <c r="FU208" s="289"/>
      <c r="FV208" s="289"/>
      <c r="FW208" s="289"/>
      <c r="FX208" s="289"/>
      <c r="FY208" s="289"/>
      <c r="FZ208" s="289"/>
      <c r="GA208" s="289"/>
      <c r="GB208" s="289"/>
      <c r="GC208" s="289"/>
      <c r="GD208" s="289"/>
      <c r="GE208" s="289"/>
      <c r="GF208" s="289"/>
      <c r="GG208" s="289"/>
      <c r="GH208" s="289"/>
      <c r="GI208" s="289"/>
      <c r="GJ208" s="289"/>
      <c r="GK208" s="289"/>
      <c r="GL208" s="289"/>
      <c r="GM208" s="289"/>
      <c r="GN208" s="289"/>
      <c r="GO208" s="289"/>
      <c r="GP208" s="289"/>
      <c r="GQ208" s="289"/>
      <c r="GR208" s="289"/>
      <c r="GS208" s="289"/>
      <c r="GT208" s="289"/>
      <c r="GU208" s="289"/>
      <c r="GV208" s="289"/>
      <c r="GW208" s="289"/>
      <c r="GX208" s="289"/>
      <c r="GY208" s="289"/>
      <c r="GZ208" s="289"/>
      <c r="HA208" s="289"/>
      <c r="HB208" s="289"/>
      <c r="HC208" s="289"/>
      <c r="HD208" s="289"/>
      <c r="HE208" s="289"/>
      <c r="HF208" s="289"/>
      <c r="HG208" s="289"/>
      <c r="HH208" s="289"/>
      <c r="HI208" s="289"/>
      <c r="HJ208" s="289"/>
      <c r="HK208" s="289"/>
      <c r="HL208" s="289"/>
      <c r="HM208" s="289"/>
      <c r="HN208" s="289"/>
      <c r="HO208" s="289"/>
      <c r="HP208" s="289"/>
      <c r="HQ208" s="289"/>
      <c r="HR208" s="289"/>
      <c r="HS208" s="289"/>
      <c r="HT208" s="289"/>
      <c r="HU208" s="289"/>
      <c r="HV208" s="289"/>
      <c r="HW208" s="289"/>
    </row>
    <row r="209" spans="1:231" s="8" customFormat="1" ht="38.25">
      <c r="A209" s="168">
        <v>7</v>
      </c>
      <c r="B209" s="62" t="s">
        <v>468</v>
      </c>
      <c r="C209" s="218" t="s">
        <v>10</v>
      </c>
      <c r="D209" s="3">
        <v>2015</v>
      </c>
      <c r="E209" s="3">
        <v>2018</v>
      </c>
      <c r="F209" s="185" t="s">
        <v>473</v>
      </c>
      <c r="G209" s="35">
        <v>6734</v>
      </c>
      <c r="H209" s="35">
        <v>6734</v>
      </c>
      <c r="I209" s="35">
        <v>4141</v>
      </c>
      <c r="J209" s="35">
        <v>4141</v>
      </c>
      <c r="K209" s="288">
        <v>1920</v>
      </c>
      <c r="L209" s="36" t="s">
        <v>880</v>
      </c>
      <c r="M209" s="221"/>
      <c r="N209" s="305"/>
      <c r="O209" s="305"/>
      <c r="P209" s="172">
        <f t="shared" si="21"/>
        <v>6061</v>
      </c>
      <c r="Q209" s="172">
        <f t="shared" si="22"/>
        <v>6061</v>
      </c>
      <c r="R209" s="305"/>
      <c r="S209" s="305"/>
      <c r="T209" s="305"/>
      <c r="U209" s="305"/>
      <c r="V209" s="305"/>
      <c r="W209" s="305"/>
      <c r="X209" s="305"/>
      <c r="Y209" s="305"/>
      <c r="Z209" s="305"/>
      <c r="AA209" s="305"/>
      <c r="AB209" s="305"/>
      <c r="AC209" s="305"/>
      <c r="AD209" s="305"/>
      <c r="AE209" s="305"/>
      <c r="AF209" s="305"/>
      <c r="AG209" s="305"/>
      <c r="AH209" s="305"/>
      <c r="AI209" s="305"/>
      <c r="AJ209" s="305"/>
      <c r="AK209" s="305"/>
      <c r="AL209" s="305"/>
      <c r="AM209" s="305"/>
      <c r="AN209" s="305"/>
      <c r="AO209" s="305"/>
      <c r="AP209" s="305"/>
      <c r="AQ209" s="305"/>
      <c r="AR209" s="305"/>
      <c r="AS209" s="305"/>
      <c r="AT209" s="305"/>
      <c r="AU209" s="305"/>
      <c r="AV209" s="305"/>
      <c r="AW209" s="305"/>
      <c r="AX209" s="305"/>
      <c r="AY209" s="305"/>
      <c r="AZ209" s="305"/>
      <c r="BA209" s="305"/>
      <c r="BB209" s="305"/>
      <c r="BC209" s="305"/>
      <c r="BD209" s="305"/>
      <c r="BE209" s="305"/>
      <c r="BF209" s="305"/>
      <c r="BG209" s="305"/>
      <c r="BH209" s="305"/>
      <c r="BI209" s="305"/>
      <c r="BJ209" s="305"/>
      <c r="BK209" s="305"/>
      <c r="BL209" s="305"/>
      <c r="BM209" s="305"/>
      <c r="BN209" s="305"/>
      <c r="BO209" s="305"/>
      <c r="BP209" s="305"/>
      <c r="BQ209" s="305"/>
      <c r="BR209" s="305"/>
      <c r="BS209" s="305"/>
      <c r="BT209" s="305"/>
      <c r="BU209" s="305"/>
      <c r="BV209" s="305"/>
      <c r="BW209" s="305"/>
      <c r="BX209" s="305"/>
      <c r="BY209" s="305"/>
      <c r="BZ209" s="305"/>
      <c r="CA209" s="305"/>
      <c r="CB209" s="305"/>
      <c r="CC209" s="305"/>
      <c r="CD209" s="305"/>
      <c r="CE209" s="305"/>
      <c r="CF209" s="305"/>
      <c r="CG209" s="305"/>
      <c r="CH209" s="305"/>
      <c r="CI209" s="305"/>
      <c r="CJ209" s="305"/>
      <c r="CK209" s="305"/>
      <c r="CL209" s="305"/>
      <c r="CM209" s="305"/>
      <c r="CN209" s="305"/>
      <c r="CO209" s="305"/>
      <c r="CP209" s="305"/>
      <c r="CQ209" s="305"/>
      <c r="CR209" s="305"/>
      <c r="CS209" s="305"/>
      <c r="CT209" s="305"/>
      <c r="CU209" s="305"/>
      <c r="CV209" s="305"/>
      <c r="CW209" s="305"/>
      <c r="CX209" s="305"/>
      <c r="CY209" s="305"/>
      <c r="CZ209" s="305"/>
      <c r="DA209" s="305"/>
      <c r="DB209" s="305"/>
      <c r="DC209" s="305"/>
      <c r="DD209" s="305"/>
      <c r="DE209" s="305"/>
      <c r="DF209" s="305"/>
      <c r="DG209" s="305"/>
      <c r="DH209" s="305"/>
      <c r="DI209" s="305"/>
      <c r="DJ209" s="305"/>
      <c r="DK209" s="305"/>
      <c r="DL209" s="305"/>
      <c r="DM209" s="305"/>
      <c r="DN209" s="305"/>
      <c r="DO209" s="305"/>
      <c r="DP209" s="305"/>
      <c r="DQ209" s="305"/>
      <c r="DR209" s="305"/>
      <c r="DS209" s="305"/>
      <c r="DT209" s="305"/>
      <c r="DU209" s="305"/>
      <c r="DV209" s="305"/>
      <c r="DW209" s="305"/>
      <c r="DX209" s="305"/>
      <c r="DY209" s="305"/>
      <c r="DZ209" s="305"/>
      <c r="EA209" s="305"/>
      <c r="EB209" s="305"/>
      <c r="EC209" s="305"/>
      <c r="ED209" s="305"/>
      <c r="EE209" s="305"/>
      <c r="EF209" s="305"/>
      <c r="EG209" s="305"/>
      <c r="EH209" s="305"/>
      <c r="EI209" s="305"/>
      <c r="EJ209" s="305"/>
      <c r="EK209" s="305"/>
      <c r="EL209" s="305"/>
      <c r="EM209" s="305"/>
      <c r="EN209" s="305"/>
      <c r="EO209" s="305"/>
      <c r="EP209" s="305"/>
      <c r="EQ209" s="305"/>
      <c r="ER209" s="305"/>
      <c r="ES209" s="305"/>
      <c r="ET209" s="305"/>
      <c r="EU209" s="305"/>
      <c r="EV209" s="305"/>
      <c r="EW209" s="305"/>
      <c r="EX209" s="305"/>
      <c r="EY209" s="305"/>
      <c r="EZ209" s="305"/>
      <c r="FA209" s="305"/>
      <c r="FB209" s="305"/>
      <c r="FC209" s="305"/>
      <c r="FD209" s="305"/>
      <c r="FE209" s="305"/>
      <c r="FF209" s="305"/>
      <c r="FG209" s="305"/>
      <c r="FH209" s="305"/>
      <c r="FI209" s="305"/>
      <c r="FJ209" s="305"/>
      <c r="FK209" s="305"/>
      <c r="FL209" s="305"/>
      <c r="FM209" s="305"/>
      <c r="FN209" s="305"/>
      <c r="FO209" s="305"/>
      <c r="FP209" s="305"/>
      <c r="FQ209" s="305"/>
      <c r="FR209" s="305"/>
      <c r="FS209" s="305"/>
      <c r="FT209" s="305"/>
      <c r="FU209" s="305"/>
      <c r="FV209" s="305"/>
      <c r="FW209" s="305"/>
      <c r="FX209" s="305"/>
      <c r="FY209" s="305"/>
      <c r="FZ209" s="305"/>
      <c r="GA209" s="305"/>
      <c r="GB209" s="305"/>
      <c r="GC209" s="305"/>
      <c r="GD209" s="305"/>
      <c r="GE209" s="305"/>
      <c r="GF209" s="305"/>
      <c r="GG209" s="305"/>
      <c r="GH209" s="305"/>
      <c r="GI209" s="305"/>
      <c r="GJ209" s="305"/>
      <c r="GK209" s="305"/>
      <c r="GL209" s="305"/>
      <c r="GM209" s="305"/>
      <c r="GN209" s="305"/>
      <c r="GO209" s="305"/>
      <c r="GP209" s="305"/>
      <c r="GQ209" s="305"/>
      <c r="GR209" s="305"/>
      <c r="GS209" s="305"/>
      <c r="GT209" s="305"/>
      <c r="GU209" s="305"/>
      <c r="GV209" s="305"/>
      <c r="GW209" s="305"/>
      <c r="GX209" s="305"/>
      <c r="GY209" s="305"/>
      <c r="GZ209" s="305"/>
      <c r="HA209" s="305"/>
      <c r="HB209" s="305"/>
      <c r="HC209" s="305"/>
      <c r="HD209" s="305"/>
      <c r="HE209" s="305"/>
      <c r="HF209" s="305"/>
      <c r="HG209" s="305"/>
      <c r="HH209" s="305"/>
      <c r="HI209" s="305"/>
      <c r="HJ209" s="305"/>
      <c r="HK209" s="305"/>
      <c r="HL209" s="305"/>
      <c r="HM209" s="305"/>
      <c r="HN209" s="305"/>
      <c r="HO209" s="305"/>
      <c r="HP209" s="305"/>
      <c r="HQ209" s="305"/>
      <c r="HR209" s="305"/>
      <c r="HS209" s="305"/>
      <c r="HT209" s="305"/>
      <c r="HU209" s="305"/>
      <c r="HV209" s="305"/>
      <c r="HW209" s="305"/>
    </row>
    <row r="210" spans="1:231" s="8" customFormat="1" ht="31.5">
      <c r="A210" s="10">
        <v>8</v>
      </c>
      <c r="B210" s="64" t="s">
        <v>130</v>
      </c>
      <c r="C210" s="228" t="s">
        <v>17</v>
      </c>
      <c r="D210" s="3">
        <v>2016</v>
      </c>
      <c r="E210" s="3">
        <v>2018</v>
      </c>
      <c r="F210" s="394" t="s">
        <v>131</v>
      </c>
      <c r="G210" s="35">
        <v>4800</v>
      </c>
      <c r="H210" s="35">
        <f>G210</f>
        <v>4800</v>
      </c>
      <c r="I210" s="35">
        <v>1395</v>
      </c>
      <c r="J210" s="35">
        <f>I210</f>
        <v>1395</v>
      </c>
      <c r="K210" s="35">
        <v>2925</v>
      </c>
      <c r="L210" s="36" t="s">
        <v>977</v>
      </c>
      <c r="M210" s="221"/>
      <c r="N210" s="305"/>
      <c r="P210" s="172">
        <f t="shared" si="21"/>
        <v>4320</v>
      </c>
      <c r="Q210" s="172">
        <f t="shared" si="22"/>
        <v>4320</v>
      </c>
    </row>
    <row r="211" spans="1:231" s="8" customFormat="1" ht="63">
      <c r="A211" s="168">
        <v>9</v>
      </c>
      <c r="B211" s="13" t="s">
        <v>135</v>
      </c>
      <c r="C211" s="228" t="s">
        <v>17</v>
      </c>
      <c r="D211" s="3">
        <v>2014</v>
      </c>
      <c r="E211" s="3">
        <v>2018</v>
      </c>
      <c r="F211" s="389" t="s">
        <v>136</v>
      </c>
      <c r="G211" s="35">
        <v>57371</v>
      </c>
      <c r="H211" s="35">
        <v>17371</v>
      </c>
      <c r="I211" s="35">
        <v>48000</v>
      </c>
      <c r="J211" s="35">
        <v>8000</v>
      </c>
      <c r="K211" s="35">
        <v>3634</v>
      </c>
      <c r="L211" s="36" t="s">
        <v>588</v>
      </c>
      <c r="M211" s="221"/>
      <c r="P211" s="172">
        <f t="shared" si="21"/>
        <v>51634</v>
      </c>
      <c r="Q211" s="172">
        <f t="shared" si="22"/>
        <v>11634</v>
      </c>
    </row>
    <row r="212" spans="1:231" s="222" customFormat="1" ht="38.25">
      <c r="A212" s="10">
        <v>10</v>
      </c>
      <c r="B212" s="62" t="s">
        <v>150</v>
      </c>
      <c r="C212" s="4" t="s">
        <v>9</v>
      </c>
      <c r="D212" s="3">
        <v>2016</v>
      </c>
      <c r="E212" s="3">
        <v>2018</v>
      </c>
      <c r="F212" s="412" t="s">
        <v>984</v>
      </c>
      <c r="G212" s="359">
        <v>20078</v>
      </c>
      <c r="H212" s="359">
        <f>G212</f>
        <v>20078</v>
      </c>
      <c r="I212" s="359">
        <f>13410+3000</f>
        <v>16410</v>
      </c>
      <c r="J212" s="359">
        <f>I212</f>
        <v>16410</v>
      </c>
      <c r="K212" s="359">
        <v>3667</v>
      </c>
      <c r="L212" s="413" t="s">
        <v>985</v>
      </c>
      <c r="M212" s="414"/>
      <c r="N212" s="289"/>
      <c r="O212" s="289"/>
      <c r="P212" s="172">
        <f t="shared" si="21"/>
        <v>20077</v>
      </c>
      <c r="Q212" s="172">
        <f t="shared" si="22"/>
        <v>20077</v>
      </c>
      <c r="R212" s="289"/>
      <c r="S212" s="289"/>
      <c r="T212" s="289"/>
      <c r="U212" s="289"/>
      <c r="V212" s="289"/>
      <c r="W212" s="289"/>
      <c r="X212" s="289"/>
      <c r="Y212" s="289"/>
      <c r="Z212" s="289"/>
      <c r="AA212" s="289"/>
      <c r="AB212" s="289"/>
      <c r="AC212" s="289"/>
      <c r="AD212" s="289"/>
      <c r="AE212" s="289"/>
      <c r="AF212" s="289"/>
      <c r="AG212" s="289"/>
      <c r="AH212" s="289"/>
      <c r="AI212" s="289"/>
      <c r="AJ212" s="289"/>
      <c r="AK212" s="289"/>
      <c r="AL212" s="289"/>
      <c r="AM212" s="289"/>
      <c r="AN212" s="289"/>
      <c r="AO212" s="289"/>
      <c r="AP212" s="289"/>
      <c r="AQ212" s="289"/>
      <c r="AR212" s="289"/>
      <c r="AS212" s="289"/>
      <c r="AT212" s="289"/>
      <c r="AU212" s="289"/>
      <c r="AV212" s="289"/>
      <c r="AW212" s="289"/>
      <c r="AX212" s="289"/>
      <c r="AY212" s="289"/>
      <c r="AZ212" s="289"/>
      <c r="BA212" s="289"/>
      <c r="BB212" s="289"/>
      <c r="BC212" s="289"/>
      <c r="BD212" s="289"/>
      <c r="BE212" s="289"/>
      <c r="BF212" s="289"/>
      <c r="BG212" s="289"/>
      <c r="BH212" s="289"/>
      <c r="BI212" s="289"/>
      <c r="BJ212" s="289"/>
      <c r="BK212" s="289"/>
      <c r="BL212" s="289"/>
      <c r="BM212" s="289"/>
      <c r="BN212" s="289"/>
      <c r="BO212" s="289"/>
      <c r="BP212" s="289"/>
      <c r="BQ212" s="289"/>
      <c r="BR212" s="289"/>
      <c r="BS212" s="289"/>
      <c r="BT212" s="289"/>
      <c r="BU212" s="289"/>
      <c r="BV212" s="289"/>
      <c r="BW212" s="289"/>
      <c r="BX212" s="289"/>
      <c r="BY212" s="289"/>
      <c r="BZ212" s="289"/>
      <c r="CA212" s="289"/>
      <c r="CB212" s="289"/>
      <c r="CC212" s="289"/>
      <c r="CD212" s="289"/>
      <c r="CE212" s="289"/>
      <c r="CF212" s="289"/>
      <c r="CG212" s="289"/>
      <c r="CH212" s="289"/>
      <c r="CI212" s="289"/>
      <c r="CJ212" s="289"/>
      <c r="CK212" s="289"/>
      <c r="CL212" s="289"/>
      <c r="CM212" s="289"/>
      <c r="CN212" s="289"/>
      <c r="CO212" s="289"/>
      <c r="CP212" s="289"/>
      <c r="CQ212" s="289"/>
      <c r="CR212" s="289"/>
      <c r="CS212" s="289"/>
      <c r="CT212" s="289"/>
      <c r="CU212" s="289"/>
      <c r="CV212" s="289"/>
      <c r="CW212" s="289"/>
      <c r="CX212" s="289"/>
      <c r="CY212" s="289"/>
      <c r="CZ212" s="289"/>
      <c r="DA212" s="289"/>
      <c r="DB212" s="289"/>
      <c r="DC212" s="289"/>
      <c r="DD212" s="289"/>
      <c r="DE212" s="289"/>
      <c r="DF212" s="289"/>
      <c r="DG212" s="289"/>
      <c r="DH212" s="289"/>
      <c r="DI212" s="289"/>
      <c r="DJ212" s="289"/>
      <c r="DK212" s="289"/>
      <c r="DL212" s="289"/>
      <c r="DM212" s="289"/>
      <c r="DN212" s="289"/>
      <c r="DO212" s="289"/>
      <c r="DP212" s="289"/>
      <c r="DQ212" s="289"/>
      <c r="DR212" s="289"/>
      <c r="DS212" s="289"/>
      <c r="DT212" s="289"/>
      <c r="DU212" s="289"/>
      <c r="DV212" s="289"/>
      <c r="DW212" s="289"/>
      <c r="DX212" s="289"/>
      <c r="DY212" s="289"/>
      <c r="DZ212" s="289"/>
      <c r="EA212" s="289"/>
      <c r="EB212" s="289"/>
      <c r="EC212" s="289"/>
      <c r="ED212" s="289"/>
      <c r="EE212" s="289"/>
      <c r="EF212" s="289"/>
      <c r="EG212" s="289"/>
      <c r="EH212" s="289"/>
      <c r="EI212" s="289"/>
      <c r="EJ212" s="289"/>
      <c r="EK212" s="289"/>
      <c r="EL212" s="289"/>
      <c r="EM212" s="289"/>
      <c r="EN212" s="289"/>
      <c r="EO212" s="289"/>
      <c r="EP212" s="289"/>
      <c r="EQ212" s="289"/>
      <c r="ER212" s="289"/>
      <c r="ES212" s="289"/>
      <c r="ET212" s="289"/>
      <c r="EU212" s="289"/>
      <c r="EV212" s="289"/>
      <c r="EW212" s="289"/>
      <c r="EX212" s="289"/>
      <c r="EY212" s="289"/>
      <c r="EZ212" s="289"/>
      <c r="FA212" s="289"/>
      <c r="FB212" s="289"/>
      <c r="FC212" s="289"/>
      <c r="FD212" s="289"/>
      <c r="FE212" s="289"/>
      <c r="FF212" s="289"/>
      <c r="FG212" s="289"/>
      <c r="FH212" s="289"/>
      <c r="FI212" s="289"/>
      <c r="FJ212" s="289"/>
      <c r="FK212" s="289"/>
      <c r="FL212" s="289"/>
      <c r="FM212" s="289"/>
      <c r="FN212" s="289"/>
      <c r="FO212" s="289"/>
      <c r="FP212" s="289"/>
      <c r="FQ212" s="289"/>
      <c r="FR212" s="289"/>
      <c r="FS212" s="289"/>
      <c r="FT212" s="289"/>
      <c r="FU212" s="289"/>
      <c r="FV212" s="289"/>
      <c r="FW212" s="289"/>
      <c r="FX212" s="289"/>
      <c r="FY212" s="289"/>
      <c r="FZ212" s="289"/>
      <c r="GA212" s="289"/>
      <c r="GB212" s="289"/>
      <c r="GC212" s="289"/>
      <c r="GD212" s="289"/>
      <c r="GE212" s="289"/>
      <c r="GF212" s="289"/>
      <c r="GG212" s="289"/>
      <c r="GH212" s="289"/>
      <c r="GI212" s="289"/>
      <c r="GJ212" s="289"/>
      <c r="GK212" s="289"/>
      <c r="GL212" s="289"/>
      <c r="GM212" s="289"/>
      <c r="GN212" s="289"/>
      <c r="GO212" s="289"/>
      <c r="GP212" s="289"/>
      <c r="GQ212" s="289"/>
      <c r="GR212" s="289"/>
      <c r="GS212" s="289"/>
      <c r="GT212" s="289"/>
      <c r="GU212" s="289"/>
      <c r="GV212" s="289"/>
      <c r="GW212" s="289"/>
      <c r="GX212" s="289"/>
      <c r="GY212" s="289"/>
      <c r="GZ212" s="289"/>
      <c r="HA212" s="289"/>
      <c r="HB212" s="289"/>
      <c r="HC212" s="289"/>
      <c r="HD212" s="289"/>
      <c r="HE212" s="289"/>
      <c r="HF212" s="289"/>
      <c r="HG212" s="289"/>
      <c r="HH212" s="289"/>
      <c r="HI212" s="289"/>
      <c r="HJ212" s="289"/>
      <c r="HK212" s="289"/>
      <c r="HL212" s="289"/>
      <c r="HM212" s="289"/>
      <c r="HN212" s="289"/>
      <c r="HO212" s="289"/>
      <c r="HP212" s="289"/>
      <c r="HQ212" s="289"/>
      <c r="HR212" s="289"/>
      <c r="HS212" s="289"/>
      <c r="HT212" s="289"/>
      <c r="HU212" s="289"/>
      <c r="HV212" s="289"/>
      <c r="HW212" s="289"/>
    </row>
    <row r="213" spans="1:231" s="15" customFormat="1" ht="31.5">
      <c r="A213" s="168">
        <v>11</v>
      </c>
      <c r="B213" s="13" t="s">
        <v>456</v>
      </c>
      <c r="C213" s="409" t="s">
        <v>49</v>
      </c>
      <c r="D213" s="170">
        <v>2016</v>
      </c>
      <c r="E213" s="170">
        <v>2018</v>
      </c>
      <c r="F213" s="390" t="s">
        <v>457</v>
      </c>
      <c r="G213" s="313">
        <v>9500</v>
      </c>
      <c r="H213" s="313">
        <f>G213</f>
        <v>9500</v>
      </c>
      <c r="I213" s="313">
        <v>3500</v>
      </c>
      <c r="J213" s="313">
        <f>I213</f>
        <v>3500</v>
      </c>
      <c r="K213" s="313">
        <v>5050</v>
      </c>
      <c r="L213" s="315" t="s">
        <v>972</v>
      </c>
      <c r="M213" s="316"/>
      <c r="P213" s="172">
        <f t="shared" si="21"/>
        <v>8550</v>
      </c>
      <c r="Q213" s="172">
        <f t="shared" si="22"/>
        <v>8550</v>
      </c>
    </row>
    <row r="214" spans="1:231" s="15" customFormat="1" ht="38.25">
      <c r="A214" s="10">
        <v>12</v>
      </c>
      <c r="B214" s="64" t="s">
        <v>132</v>
      </c>
      <c r="C214" s="409" t="s">
        <v>17</v>
      </c>
      <c r="D214" s="170">
        <v>2017</v>
      </c>
      <c r="E214" s="170">
        <v>2018</v>
      </c>
      <c r="F214" s="390" t="s">
        <v>737</v>
      </c>
      <c r="G214" s="313">
        <v>6190</v>
      </c>
      <c r="H214" s="313">
        <f>G214</f>
        <v>6190</v>
      </c>
      <c r="I214" s="313">
        <v>3365</v>
      </c>
      <c r="J214" s="313">
        <f>I214</f>
        <v>3365</v>
      </c>
      <c r="K214" s="313">
        <v>2521</v>
      </c>
      <c r="L214" s="315" t="s">
        <v>859</v>
      </c>
      <c r="M214" s="316"/>
      <c r="P214" s="172">
        <f t="shared" si="21"/>
        <v>5886</v>
      </c>
      <c r="Q214" s="172">
        <f t="shared" si="22"/>
        <v>5886</v>
      </c>
    </row>
    <row r="215" spans="1:231" s="15" customFormat="1" ht="15.75">
      <c r="A215" s="175" t="s">
        <v>897</v>
      </c>
      <c r="B215" s="377" t="s">
        <v>700</v>
      </c>
      <c r="C215" s="409"/>
      <c r="D215" s="170"/>
      <c r="E215" s="170"/>
      <c r="F215" s="390"/>
      <c r="G215" s="313"/>
      <c r="H215" s="313"/>
      <c r="I215" s="313"/>
      <c r="J215" s="313"/>
      <c r="K215" s="313"/>
      <c r="L215" s="315"/>
      <c r="M215" s="316"/>
      <c r="P215" s="172">
        <f t="shared" si="21"/>
        <v>0</v>
      </c>
      <c r="Q215" s="172">
        <f t="shared" si="22"/>
        <v>0</v>
      </c>
    </row>
    <row r="216" spans="1:231" s="416" customFormat="1" ht="31.5">
      <c r="A216" s="10">
        <v>1</v>
      </c>
      <c r="B216" s="62" t="s">
        <v>557</v>
      </c>
      <c r="C216" s="409" t="s">
        <v>10</v>
      </c>
      <c r="D216" s="415">
        <v>2017</v>
      </c>
      <c r="E216" s="415">
        <v>2019</v>
      </c>
      <c r="F216" s="2" t="s">
        <v>986</v>
      </c>
      <c r="G216" s="313">
        <v>4060</v>
      </c>
      <c r="H216" s="313">
        <v>1198</v>
      </c>
      <c r="I216" s="313">
        <f>G216-H216</f>
        <v>2862</v>
      </c>
      <c r="J216" s="313">
        <f>I216</f>
        <v>2862</v>
      </c>
      <c r="K216" s="313">
        <v>1198</v>
      </c>
      <c r="L216" s="315" t="s">
        <v>987</v>
      </c>
      <c r="M216" s="316"/>
      <c r="P216" s="172">
        <f t="shared" si="21"/>
        <v>4060</v>
      </c>
      <c r="Q216" s="172">
        <f t="shared" si="22"/>
        <v>4060</v>
      </c>
    </row>
    <row r="217" spans="1:231" s="8" customFormat="1" ht="31.5">
      <c r="A217" s="10">
        <v>2</v>
      </c>
      <c r="B217" s="24" t="s">
        <v>498</v>
      </c>
      <c r="C217" s="22" t="s">
        <v>10</v>
      </c>
      <c r="D217" s="415">
        <v>2017</v>
      </c>
      <c r="E217" s="415">
        <v>2019</v>
      </c>
      <c r="F217" s="312" t="s">
        <v>499</v>
      </c>
      <c r="G217" s="403">
        <v>6995</v>
      </c>
      <c r="H217" s="403">
        <v>3000</v>
      </c>
      <c r="I217" s="314">
        <v>500</v>
      </c>
      <c r="J217" s="314">
        <v>500</v>
      </c>
      <c r="K217" s="403">
        <v>2200</v>
      </c>
      <c r="L217" s="315" t="s">
        <v>988</v>
      </c>
      <c r="M217" s="316"/>
      <c r="N217" s="404"/>
      <c r="O217" s="289"/>
      <c r="P217" s="172">
        <f t="shared" si="21"/>
        <v>2700</v>
      </c>
      <c r="Q217" s="172">
        <f t="shared" si="22"/>
        <v>2700</v>
      </c>
      <c r="R217" s="289"/>
      <c r="S217" s="289"/>
      <c r="T217" s="289"/>
      <c r="U217" s="289"/>
      <c r="V217" s="289"/>
      <c r="W217" s="289"/>
      <c r="X217" s="289"/>
      <c r="Y217" s="289"/>
      <c r="Z217" s="289"/>
      <c r="AA217" s="289"/>
      <c r="AB217" s="289"/>
      <c r="AC217" s="289"/>
      <c r="AD217" s="289"/>
      <c r="AE217" s="289"/>
      <c r="AF217" s="289"/>
      <c r="AG217" s="289"/>
      <c r="AH217" s="289"/>
      <c r="AI217" s="289"/>
      <c r="AJ217" s="289"/>
      <c r="AK217" s="289"/>
      <c r="AL217" s="289"/>
      <c r="AM217" s="289"/>
      <c r="AN217" s="289"/>
      <c r="AO217" s="289"/>
      <c r="AP217" s="289"/>
      <c r="AQ217" s="289"/>
      <c r="AR217" s="289"/>
      <c r="AS217" s="289"/>
      <c r="AT217" s="289"/>
      <c r="AU217" s="289"/>
      <c r="AV217" s="289"/>
      <c r="AW217" s="289"/>
      <c r="AX217" s="289"/>
      <c r="AY217" s="289"/>
      <c r="AZ217" s="289"/>
      <c r="BA217" s="289"/>
      <c r="BB217" s="289"/>
      <c r="BC217" s="289"/>
      <c r="BD217" s="289"/>
      <c r="BE217" s="289"/>
      <c r="BF217" s="289"/>
      <c r="BG217" s="289"/>
      <c r="BH217" s="289"/>
      <c r="BI217" s="289"/>
      <c r="BJ217" s="289"/>
      <c r="BK217" s="289"/>
      <c r="BL217" s="289"/>
      <c r="BM217" s="289"/>
      <c r="BN217" s="289"/>
      <c r="BO217" s="289"/>
      <c r="BP217" s="289"/>
      <c r="BQ217" s="289"/>
      <c r="BR217" s="289"/>
      <c r="BS217" s="289"/>
      <c r="BT217" s="289"/>
      <c r="BU217" s="289"/>
      <c r="BV217" s="289"/>
      <c r="BW217" s="289"/>
      <c r="BX217" s="289"/>
      <c r="BY217" s="289"/>
      <c r="BZ217" s="289"/>
      <c r="CA217" s="289"/>
      <c r="CB217" s="289"/>
      <c r="CC217" s="289"/>
      <c r="CD217" s="289"/>
      <c r="CE217" s="289"/>
      <c r="CF217" s="289"/>
      <c r="CG217" s="289"/>
      <c r="CH217" s="289"/>
      <c r="CI217" s="289"/>
      <c r="CJ217" s="289"/>
      <c r="CK217" s="289"/>
      <c r="CL217" s="289"/>
      <c r="CM217" s="289"/>
      <c r="CN217" s="289"/>
      <c r="CO217" s="289"/>
      <c r="CP217" s="289"/>
      <c r="CQ217" s="289"/>
      <c r="CR217" s="289"/>
      <c r="CS217" s="289"/>
      <c r="CT217" s="289"/>
      <c r="CU217" s="289"/>
      <c r="CV217" s="289"/>
      <c r="CW217" s="289"/>
      <c r="CX217" s="289"/>
      <c r="CY217" s="289"/>
      <c r="CZ217" s="289"/>
      <c r="DA217" s="289"/>
      <c r="DB217" s="289"/>
      <c r="DC217" s="289"/>
      <c r="DD217" s="289"/>
      <c r="DE217" s="289"/>
      <c r="DF217" s="289"/>
      <c r="DG217" s="289"/>
      <c r="DH217" s="289"/>
      <c r="DI217" s="289"/>
      <c r="DJ217" s="289"/>
      <c r="DK217" s="289"/>
      <c r="DL217" s="289"/>
      <c r="DM217" s="289"/>
      <c r="DN217" s="289"/>
      <c r="DO217" s="289"/>
      <c r="DP217" s="289"/>
      <c r="DQ217" s="289"/>
      <c r="DR217" s="289"/>
      <c r="DS217" s="289"/>
      <c r="DT217" s="289"/>
      <c r="DU217" s="289"/>
      <c r="DV217" s="289"/>
      <c r="DW217" s="289"/>
      <c r="DX217" s="289"/>
      <c r="DY217" s="289"/>
      <c r="DZ217" s="289"/>
      <c r="EA217" s="289"/>
      <c r="EB217" s="289"/>
      <c r="EC217" s="289"/>
      <c r="ED217" s="289"/>
      <c r="EE217" s="289"/>
      <c r="EF217" s="289"/>
      <c r="EG217" s="289"/>
      <c r="EH217" s="289"/>
      <c r="EI217" s="289"/>
      <c r="EJ217" s="289"/>
      <c r="EK217" s="289"/>
      <c r="EL217" s="289"/>
      <c r="EM217" s="289"/>
      <c r="EN217" s="289"/>
      <c r="EO217" s="289"/>
      <c r="EP217" s="289"/>
      <c r="EQ217" s="289"/>
      <c r="ER217" s="289"/>
      <c r="ES217" s="289"/>
      <c r="ET217" s="289"/>
      <c r="EU217" s="289"/>
      <c r="EV217" s="289"/>
      <c r="EW217" s="289"/>
      <c r="EX217" s="289"/>
      <c r="EY217" s="289"/>
      <c r="EZ217" s="289"/>
      <c r="FA217" s="289"/>
      <c r="FB217" s="289"/>
      <c r="FC217" s="289"/>
      <c r="FD217" s="289"/>
      <c r="FE217" s="289"/>
      <c r="FF217" s="289"/>
      <c r="FG217" s="289"/>
      <c r="FH217" s="289"/>
      <c r="FI217" s="289"/>
      <c r="FJ217" s="289"/>
      <c r="FK217" s="289"/>
      <c r="FL217" s="289"/>
      <c r="FM217" s="289"/>
      <c r="FN217" s="289"/>
      <c r="FO217" s="289"/>
      <c r="FP217" s="289"/>
      <c r="FQ217" s="289"/>
      <c r="FR217" s="289"/>
      <c r="FS217" s="289"/>
      <c r="FT217" s="289"/>
      <c r="FU217" s="289"/>
      <c r="FV217" s="289"/>
      <c r="FW217" s="289"/>
      <c r="FX217" s="289"/>
      <c r="FY217" s="289"/>
      <c r="FZ217" s="289"/>
      <c r="GA217" s="289"/>
      <c r="GB217" s="289"/>
      <c r="GC217" s="289"/>
      <c r="GD217" s="289"/>
      <c r="GE217" s="289"/>
      <c r="GF217" s="289"/>
      <c r="GG217" s="289"/>
      <c r="GH217" s="289"/>
      <c r="GI217" s="289"/>
      <c r="GJ217" s="289"/>
      <c r="GK217" s="289"/>
      <c r="GL217" s="289"/>
      <c r="GM217" s="289"/>
      <c r="GN217" s="289"/>
      <c r="GO217" s="289"/>
      <c r="GP217" s="289"/>
      <c r="GQ217" s="289"/>
      <c r="GR217" s="289"/>
      <c r="GS217" s="289"/>
      <c r="GT217" s="289"/>
      <c r="GU217" s="289"/>
      <c r="GV217" s="289"/>
      <c r="GW217" s="289"/>
      <c r="GX217" s="289"/>
      <c r="GY217" s="289"/>
      <c r="GZ217" s="289"/>
      <c r="HA217" s="289"/>
      <c r="HB217" s="289"/>
      <c r="HC217" s="289"/>
      <c r="HD217" s="289"/>
      <c r="HE217" s="289"/>
      <c r="HF217" s="289"/>
      <c r="HG217" s="289"/>
      <c r="HH217" s="289"/>
      <c r="HI217" s="289"/>
      <c r="HJ217" s="289"/>
      <c r="HK217" s="289"/>
      <c r="HL217" s="289"/>
      <c r="HM217" s="289"/>
      <c r="HN217" s="289"/>
      <c r="HO217" s="289"/>
      <c r="HP217" s="289"/>
      <c r="HQ217" s="289"/>
      <c r="HR217" s="289"/>
      <c r="HS217" s="289"/>
      <c r="HT217" s="289"/>
      <c r="HU217" s="289"/>
      <c r="HV217" s="289"/>
      <c r="HW217" s="289"/>
    </row>
    <row r="218" spans="1:231" s="8" customFormat="1" ht="25.5">
      <c r="A218" s="10">
        <v>3</v>
      </c>
      <c r="B218" s="26" t="s">
        <v>500</v>
      </c>
      <c r="C218" s="218" t="s">
        <v>46</v>
      </c>
      <c r="D218" s="415">
        <v>2017</v>
      </c>
      <c r="E218" s="415">
        <v>2019</v>
      </c>
      <c r="F218" s="312" t="s">
        <v>516</v>
      </c>
      <c r="G218" s="403">
        <v>3000</v>
      </c>
      <c r="H218" s="403">
        <v>3000</v>
      </c>
      <c r="I218" s="314">
        <v>500</v>
      </c>
      <c r="J218" s="314">
        <v>500</v>
      </c>
      <c r="K218" s="403">
        <v>2200</v>
      </c>
      <c r="L218" s="315" t="s">
        <v>881</v>
      </c>
      <c r="M218" s="316"/>
      <c r="N218" s="404"/>
      <c r="O218" s="289"/>
      <c r="P218" s="172">
        <f t="shared" si="21"/>
        <v>2700</v>
      </c>
      <c r="Q218" s="172">
        <f t="shared" si="22"/>
        <v>2700</v>
      </c>
      <c r="R218" s="289"/>
      <c r="S218" s="289"/>
      <c r="T218" s="289"/>
      <c r="U218" s="289"/>
      <c r="V218" s="289"/>
      <c r="W218" s="289"/>
      <c r="X218" s="289"/>
      <c r="Y218" s="289"/>
      <c r="Z218" s="289"/>
      <c r="AA218" s="289"/>
      <c r="AB218" s="289"/>
      <c r="AC218" s="289"/>
      <c r="AD218" s="289"/>
      <c r="AE218" s="289"/>
      <c r="AF218" s="289"/>
      <c r="AG218" s="289"/>
      <c r="AH218" s="289"/>
      <c r="AI218" s="289"/>
      <c r="AJ218" s="289"/>
      <c r="AK218" s="289"/>
      <c r="AL218" s="289"/>
      <c r="AM218" s="289"/>
      <c r="AN218" s="289"/>
      <c r="AO218" s="289"/>
      <c r="AP218" s="289"/>
      <c r="AQ218" s="289"/>
      <c r="AR218" s="289"/>
      <c r="AS218" s="289"/>
      <c r="AT218" s="289"/>
      <c r="AU218" s="289"/>
      <c r="AV218" s="289"/>
      <c r="AW218" s="289"/>
      <c r="AX218" s="289"/>
      <c r="AY218" s="289"/>
      <c r="AZ218" s="289"/>
      <c r="BA218" s="289"/>
      <c r="BB218" s="289"/>
      <c r="BC218" s="289"/>
      <c r="BD218" s="289"/>
      <c r="BE218" s="289"/>
      <c r="BF218" s="289"/>
      <c r="BG218" s="289"/>
      <c r="BH218" s="289"/>
      <c r="BI218" s="289"/>
      <c r="BJ218" s="289"/>
      <c r="BK218" s="289"/>
      <c r="BL218" s="289"/>
      <c r="BM218" s="289"/>
      <c r="BN218" s="289"/>
      <c r="BO218" s="289"/>
      <c r="BP218" s="289"/>
      <c r="BQ218" s="289"/>
      <c r="BR218" s="289"/>
      <c r="BS218" s="289"/>
      <c r="BT218" s="289"/>
      <c r="BU218" s="289"/>
      <c r="BV218" s="289"/>
      <c r="BW218" s="289"/>
      <c r="BX218" s="289"/>
      <c r="BY218" s="289"/>
      <c r="BZ218" s="289"/>
      <c r="CA218" s="289"/>
      <c r="CB218" s="289"/>
      <c r="CC218" s="289"/>
      <c r="CD218" s="289"/>
      <c r="CE218" s="289"/>
      <c r="CF218" s="289"/>
      <c r="CG218" s="289"/>
      <c r="CH218" s="289"/>
      <c r="CI218" s="289"/>
      <c r="CJ218" s="289"/>
      <c r="CK218" s="289"/>
      <c r="CL218" s="289"/>
      <c r="CM218" s="289"/>
      <c r="CN218" s="289"/>
      <c r="CO218" s="289"/>
      <c r="CP218" s="289"/>
      <c r="CQ218" s="289"/>
      <c r="CR218" s="289"/>
      <c r="CS218" s="289"/>
      <c r="CT218" s="289"/>
      <c r="CU218" s="289"/>
      <c r="CV218" s="289"/>
      <c r="CW218" s="289"/>
      <c r="CX218" s="289"/>
      <c r="CY218" s="289"/>
      <c r="CZ218" s="289"/>
      <c r="DA218" s="289"/>
      <c r="DB218" s="289"/>
      <c r="DC218" s="289"/>
      <c r="DD218" s="289"/>
      <c r="DE218" s="289"/>
      <c r="DF218" s="289"/>
      <c r="DG218" s="289"/>
      <c r="DH218" s="289"/>
      <c r="DI218" s="289"/>
      <c r="DJ218" s="289"/>
      <c r="DK218" s="289"/>
      <c r="DL218" s="289"/>
      <c r="DM218" s="289"/>
      <c r="DN218" s="289"/>
      <c r="DO218" s="289"/>
      <c r="DP218" s="289"/>
      <c r="DQ218" s="289"/>
      <c r="DR218" s="289"/>
      <c r="DS218" s="289"/>
      <c r="DT218" s="289"/>
      <c r="DU218" s="289"/>
      <c r="DV218" s="289"/>
      <c r="DW218" s="289"/>
      <c r="DX218" s="289"/>
      <c r="DY218" s="289"/>
      <c r="DZ218" s="289"/>
      <c r="EA218" s="289"/>
      <c r="EB218" s="289"/>
      <c r="EC218" s="289"/>
      <c r="ED218" s="289"/>
      <c r="EE218" s="289"/>
      <c r="EF218" s="289"/>
      <c r="EG218" s="289"/>
      <c r="EH218" s="289"/>
      <c r="EI218" s="289"/>
      <c r="EJ218" s="289"/>
      <c r="EK218" s="289"/>
      <c r="EL218" s="289"/>
      <c r="EM218" s="289"/>
      <c r="EN218" s="289"/>
      <c r="EO218" s="289"/>
      <c r="EP218" s="289"/>
      <c r="EQ218" s="289"/>
      <c r="ER218" s="289"/>
      <c r="ES218" s="289"/>
      <c r="ET218" s="289"/>
      <c r="EU218" s="289"/>
      <c r="EV218" s="289"/>
      <c r="EW218" s="289"/>
      <c r="EX218" s="289"/>
      <c r="EY218" s="289"/>
      <c r="EZ218" s="289"/>
      <c r="FA218" s="289"/>
      <c r="FB218" s="289"/>
      <c r="FC218" s="289"/>
      <c r="FD218" s="289"/>
      <c r="FE218" s="289"/>
      <c r="FF218" s="289"/>
      <c r="FG218" s="289"/>
      <c r="FH218" s="289"/>
      <c r="FI218" s="289"/>
      <c r="FJ218" s="289"/>
      <c r="FK218" s="289"/>
      <c r="FL218" s="289"/>
      <c r="FM218" s="289"/>
      <c r="FN218" s="289"/>
      <c r="FO218" s="289"/>
      <c r="FP218" s="289"/>
      <c r="FQ218" s="289"/>
      <c r="FR218" s="289"/>
      <c r="FS218" s="289"/>
      <c r="FT218" s="289"/>
      <c r="FU218" s="289"/>
      <c r="FV218" s="289"/>
      <c r="FW218" s="289"/>
      <c r="FX218" s="289"/>
      <c r="FY218" s="289"/>
      <c r="FZ218" s="289"/>
      <c r="GA218" s="289"/>
      <c r="GB218" s="289"/>
      <c r="GC218" s="289"/>
      <c r="GD218" s="289"/>
      <c r="GE218" s="289"/>
      <c r="GF218" s="289"/>
      <c r="GG218" s="289"/>
      <c r="GH218" s="289"/>
      <c r="GI218" s="289"/>
      <c r="GJ218" s="289"/>
      <c r="GK218" s="289"/>
      <c r="GL218" s="289"/>
      <c r="GM218" s="289"/>
      <c r="GN218" s="289"/>
      <c r="GO218" s="289"/>
      <c r="GP218" s="289"/>
      <c r="GQ218" s="289"/>
      <c r="GR218" s="289"/>
      <c r="GS218" s="289"/>
      <c r="GT218" s="289"/>
      <c r="GU218" s="289"/>
      <c r="GV218" s="289"/>
      <c r="GW218" s="289"/>
      <c r="GX218" s="289"/>
      <c r="GY218" s="289"/>
      <c r="GZ218" s="289"/>
      <c r="HA218" s="289"/>
      <c r="HB218" s="289"/>
      <c r="HC218" s="289"/>
      <c r="HD218" s="289"/>
      <c r="HE218" s="289"/>
      <c r="HF218" s="289"/>
      <c r="HG218" s="289"/>
      <c r="HH218" s="289"/>
      <c r="HI218" s="289"/>
      <c r="HJ218" s="289"/>
      <c r="HK218" s="289"/>
      <c r="HL218" s="289"/>
      <c r="HM218" s="289"/>
      <c r="HN218" s="289"/>
      <c r="HO218" s="289"/>
      <c r="HP218" s="289"/>
      <c r="HQ218" s="289"/>
      <c r="HR218" s="289"/>
      <c r="HS218" s="289"/>
      <c r="HT218" s="289"/>
      <c r="HU218" s="289"/>
      <c r="HV218" s="289"/>
      <c r="HW218" s="289"/>
    </row>
    <row r="219" spans="1:231" s="12" customFormat="1" ht="31.5">
      <c r="A219" s="10">
        <v>4</v>
      </c>
      <c r="B219" s="169" t="s">
        <v>156</v>
      </c>
      <c r="C219" s="4" t="s">
        <v>9</v>
      </c>
      <c r="D219" s="170">
        <v>2017</v>
      </c>
      <c r="E219" s="170">
        <v>2019</v>
      </c>
      <c r="F219" s="405" t="s">
        <v>157</v>
      </c>
      <c r="G219" s="417">
        <v>3492</v>
      </c>
      <c r="H219" s="417">
        <v>3492</v>
      </c>
      <c r="I219" s="418">
        <v>500</v>
      </c>
      <c r="J219" s="418">
        <v>500</v>
      </c>
      <c r="K219" s="419">
        <f>1321</f>
        <v>1321</v>
      </c>
      <c r="L219" s="315" t="s">
        <v>989</v>
      </c>
      <c r="M219" s="316" t="s">
        <v>990</v>
      </c>
      <c r="N219" s="404"/>
      <c r="O219" s="289"/>
      <c r="P219" s="172">
        <f t="shared" si="21"/>
        <v>1821</v>
      </c>
      <c r="Q219" s="172">
        <f t="shared" si="22"/>
        <v>1821</v>
      </c>
      <c r="R219" s="289"/>
      <c r="S219" s="289"/>
      <c r="T219" s="289"/>
      <c r="U219" s="289"/>
      <c r="V219" s="289"/>
      <c r="W219" s="289"/>
      <c r="X219" s="289"/>
      <c r="Y219" s="289"/>
      <c r="Z219" s="289"/>
      <c r="AA219" s="289"/>
      <c r="AB219" s="289"/>
      <c r="AC219" s="289"/>
      <c r="AD219" s="289"/>
      <c r="AE219" s="289"/>
      <c r="AF219" s="289"/>
      <c r="AG219" s="289"/>
      <c r="AH219" s="289"/>
      <c r="AI219" s="289"/>
      <c r="AJ219" s="289"/>
      <c r="AK219" s="289"/>
      <c r="AL219" s="289"/>
      <c r="AM219" s="289"/>
      <c r="AN219" s="289"/>
      <c r="AO219" s="289"/>
      <c r="AP219" s="289"/>
      <c r="AQ219" s="289"/>
      <c r="AR219" s="289"/>
      <c r="AS219" s="289"/>
      <c r="AT219" s="289"/>
      <c r="AU219" s="289"/>
      <c r="AV219" s="289"/>
      <c r="AW219" s="289"/>
      <c r="AX219" s="289"/>
      <c r="AY219" s="289"/>
      <c r="AZ219" s="289"/>
      <c r="BA219" s="289"/>
      <c r="BB219" s="289"/>
      <c r="BC219" s="289"/>
      <c r="BD219" s="289"/>
      <c r="BE219" s="289"/>
      <c r="BF219" s="289"/>
      <c r="BG219" s="289"/>
      <c r="BH219" s="289"/>
      <c r="BI219" s="289"/>
      <c r="BJ219" s="289"/>
      <c r="BK219" s="289"/>
      <c r="BL219" s="289"/>
      <c r="BM219" s="289"/>
      <c r="BN219" s="289"/>
      <c r="BO219" s="289"/>
      <c r="BP219" s="289"/>
      <c r="BQ219" s="289"/>
      <c r="BR219" s="289"/>
      <c r="BS219" s="289"/>
      <c r="BT219" s="289"/>
      <c r="BU219" s="289"/>
      <c r="BV219" s="289"/>
      <c r="BW219" s="289"/>
      <c r="BX219" s="289"/>
      <c r="BY219" s="289"/>
      <c r="BZ219" s="289"/>
      <c r="CA219" s="289"/>
      <c r="CB219" s="289"/>
      <c r="CC219" s="289"/>
      <c r="CD219" s="289"/>
      <c r="CE219" s="289"/>
      <c r="CF219" s="289"/>
      <c r="CG219" s="289"/>
      <c r="CH219" s="289"/>
      <c r="CI219" s="289"/>
      <c r="CJ219" s="289"/>
      <c r="CK219" s="289"/>
      <c r="CL219" s="289"/>
      <c r="CM219" s="289"/>
      <c r="CN219" s="289"/>
      <c r="CO219" s="289"/>
      <c r="CP219" s="289"/>
      <c r="CQ219" s="289"/>
      <c r="CR219" s="289"/>
      <c r="CS219" s="289"/>
      <c r="CT219" s="289"/>
      <c r="CU219" s="289"/>
      <c r="CV219" s="289"/>
      <c r="CW219" s="289"/>
      <c r="CX219" s="289"/>
      <c r="CY219" s="289"/>
      <c r="CZ219" s="289"/>
      <c r="DA219" s="289"/>
      <c r="DB219" s="289"/>
      <c r="DC219" s="289"/>
      <c r="DD219" s="289"/>
      <c r="DE219" s="289"/>
      <c r="DF219" s="289"/>
      <c r="DG219" s="289"/>
      <c r="DH219" s="289"/>
      <c r="DI219" s="289"/>
      <c r="DJ219" s="289"/>
      <c r="DK219" s="289"/>
      <c r="DL219" s="289"/>
      <c r="DM219" s="289"/>
      <c r="DN219" s="289"/>
      <c r="DO219" s="289"/>
      <c r="DP219" s="289"/>
      <c r="DQ219" s="289"/>
      <c r="DR219" s="289"/>
      <c r="DS219" s="289"/>
      <c r="DT219" s="289"/>
      <c r="DU219" s="289"/>
      <c r="DV219" s="289"/>
      <c r="DW219" s="289"/>
      <c r="DX219" s="289"/>
      <c r="DY219" s="289"/>
      <c r="DZ219" s="289"/>
      <c r="EA219" s="289"/>
      <c r="EB219" s="289"/>
      <c r="EC219" s="289"/>
      <c r="ED219" s="289"/>
      <c r="EE219" s="289"/>
      <c r="EF219" s="289"/>
      <c r="EG219" s="289"/>
      <c r="EH219" s="289"/>
      <c r="EI219" s="289"/>
      <c r="EJ219" s="289"/>
      <c r="EK219" s="289"/>
      <c r="EL219" s="289"/>
      <c r="EM219" s="289"/>
      <c r="EN219" s="289"/>
      <c r="EO219" s="289"/>
      <c r="EP219" s="289"/>
      <c r="EQ219" s="289"/>
      <c r="ER219" s="289"/>
      <c r="ES219" s="289"/>
      <c r="ET219" s="289"/>
      <c r="EU219" s="289"/>
      <c r="EV219" s="289"/>
      <c r="EW219" s="289"/>
      <c r="EX219" s="289"/>
      <c r="EY219" s="289"/>
      <c r="EZ219" s="289"/>
      <c r="FA219" s="289"/>
      <c r="FB219" s="289"/>
      <c r="FC219" s="289"/>
      <c r="FD219" s="289"/>
      <c r="FE219" s="289"/>
      <c r="FF219" s="289"/>
      <c r="FG219" s="289"/>
      <c r="FH219" s="289"/>
      <c r="FI219" s="289"/>
      <c r="FJ219" s="289"/>
      <c r="FK219" s="289"/>
      <c r="FL219" s="289"/>
      <c r="FM219" s="289"/>
      <c r="FN219" s="289"/>
      <c r="FO219" s="289"/>
      <c r="FP219" s="289"/>
      <c r="FQ219" s="289"/>
      <c r="FR219" s="289"/>
      <c r="FS219" s="289"/>
      <c r="FT219" s="289"/>
      <c r="FU219" s="289"/>
      <c r="FV219" s="289"/>
      <c r="FW219" s="289"/>
      <c r="FX219" s="289"/>
      <c r="FY219" s="289"/>
      <c r="FZ219" s="289"/>
      <c r="GA219" s="289"/>
      <c r="GB219" s="289"/>
      <c r="GC219" s="289"/>
      <c r="GD219" s="289"/>
      <c r="GE219" s="289"/>
      <c r="GF219" s="289"/>
      <c r="GG219" s="289"/>
      <c r="GH219" s="289"/>
      <c r="GI219" s="289"/>
      <c r="GJ219" s="289"/>
      <c r="GK219" s="289"/>
      <c r="GL219" s="289"/>
      <c r="GM219" s="289"/>
      <c r="GN219" s="289"/>
      <c r="GO219" s="289"/>
      <c r="GP219" s="289"/>
      <c r="GQ219" s="289"/>
      <c r="GR219" s="289"/>
      <c r="GS219" s="289"/>
      <c r="GT219" s="289"/>
      <c r="GU219" s="289"/>
      <c r="GV219" s="289"/>
      <c r="GW219" s="289"/>
      <c r="GX219" s="289"/>
      <c r="GY219" s="289"/>
      <c r="GZ219" s="289"/>
      <c r="HA219" s="289"/>
      <c r="HB219" s="289"/>
      <c r="HC219" s="289"/>
      <c r="HD219" s="289"/>
      <c r="HE219" s="289"/>
      <c r="HF219" s="289"/>
      <c r="HG219" s="289"/>
      <c r="HH219" s="289"/>
      <c r="HI219" s="289"/>
      <c r="HJ219" s="289"/>
      <c r="HK219" s="289"/>
      <c r="HL219" s="289"/>
      <c r="HM219" s="289"/>
      <c r="HN219" s="289"/>
      <c r="HO219" s="289"/>
      <c r="HP219" s="289"/>
      <c r="HQ219" s="289"/>
      <c r="HR219" s="289"/>
      <c r="HS219" s="289"/>
      <c r="HT219" s="289"/>
      <c r="HU219" s="289"/>
      <c r="HV219" s="289"/>
      <c r="HW219" s="289"/>
    </row>
    <row r="220" spans="1:231" s="12" customFormat="1" ht="31.5">
      <c r="A220" s="10">
        <v>5</v>
      </c>
      <c r="B220" s="24" t="s">
        <v>501</v>
      </c>
      <c r="C220" s="4" t="s">
        <v>9</v>
      </c>
      <c r="D220" s="170">
        <v>2017</v>
      </c>
      <c r="E220" s="170">
        <v>2019</v>
      </c>
      <c r="F220" s="405" t="s">
        <v>991</v>
      </c>
      <c r="G220" s="417">
        <v>3704</v>
      </c>
      <c r="H220" s="417">
        <f>G220</f>
        <v>3704</v>
      </c>
      <c r="I220" s="418">
        <v>500</v>
      </c>
      <c r="J220" s="418">
        <v>500</v>
      </c>
      <c r="K220" s="419">
        <f>1416</f>
        <v>1416</v>
      </c>
      <c r="L220" s="315" t="s">
        <v>992</v>
      </c>
      <c r="M220" s="316" t="s">
        <v>993</v>
      </c>
      <c r="N220" s="404"/>
      <c r="O220" s="289"/>
      <c r="P220" s="172">
        <f t="shared" si="21"/>
        <v>1916</v>
      </c>
      <c r="Q220" s="172">
        <f t="shared" si="22"/>
        <v>1916</v>
      </c>
      <c r="R220" s="289"/>
      <c r="S220" s="289"/>
      <c r="T220" s="289"/>
      <c r="U220" s="289"/>
      <c r="V220" s="289"/>
      <c r="W220" s="289"/>
      <c r="X220" s="289"/>
      <c r="Y220" s="289"/>
      <c r="Z220" s="289"/>
      <c r="AA220" s="289"/>
      <c r="AB220" s="289"/>
      <c r="AC220" s="289"/>
      <c r="AD220" s="289"/>
      <c r="AE220" s="289"/>
      <c r="AF220" s="289"/>
      <c r="AG220" s="289"/>
      <c r="AH220" s="289"/>
      <c r="AI220" s="289"/>
      <c r="AJ220" s="289"/>
      <c r="AK220" s="289"/>
      <c r="AL220" s="289"/>
      <c r="AM220" s="289"/>
      <c r="AN220" s="289"/>
      <c r="AO220" s="289"/>
      <c r="AP220" s="289"/>
      <c r="AQ220" s="289"/>
      <c r="AR220" s="289"/>
      <c r="AS220" s="289"/>
      <c r="AT220" s="289"/>
      <c r="AU220" s="289"/>
      <c r="AV220" s="289"/>
      <c r="AW220" s="289"/>
      <c r="AX220" s="289"/>
      <c r="AY220" s="289"/>
      <c r="AZ220" s="289"/>
      <c r="BA220" s="289"/>
      <c r="BB220" s="289"/>
      <c r="BC220" s="289"/>
      <c r="BD220" s="289"/>
      <c r="BE220" s="289"/>
      <c r="BF220" s="289"/>
      <c r="BG220" s="289"/>
      <c r="BH220" s="289"/>
      <c r="BI220" s="289"/>
      <c r="BJ220" s="289"/>
      <c r="BK220" s="289"/>
      <c r="BL220" s="289"/>
      <c r="BM220" s="289"/>
      <c r="BN220" s="289"/>
      <c r="BO220" s="289"/>
      <c r="BP220" s="289"/>
      <c r="BQ220" s="289"/>
      <c r="BR220" s="289"/>
      <c r="BS220" s="289"/>
      <c r="BT220" s="289"/>
      <c r="BU220" s="289"/>
      <c r="BV220" s="289"/>
      <c r="BW220" s="289"/>
      <c r="BX220" s="289"/>
      <c r="BY220" s="289"/>
      <c r="BZ220" s="289"/>
      <c r="CA220" s="289"/>
      <c r="CB220" s="289"/>
      <c r="CC220" s="289"/>
      <c r="CD220" s="289"/>
      <c r="CE220" s="289"/>
      <c r="CF220" s="289"/>
      <c r="CG220" s="289"/>
      <c r="CH220" s="289"/>
      <c r="CI220" s="289"/>
      <c r="CJ220" s="289"/>
      <c r="CK220" s="289"/>
      <c r="CL220" s="289"/>
      <c r="CM220" s="289"/>
      <c r="CN220" s="289"/>
      <c r="CO220" s="289"/>
      <c r="CP220" s="289"/>
      <c r="CQ220" s="289"/>
      <c r="CR220" s="289"/>
      <c r="CS220" s="289"/>
      <c r="CT220" s="289"/>
      <c r="CU220" s="289"/>
      <c r="CV220" s="289"/>
      <c r="CW220" s="289"/>
      <c r="CX220" s="289"/>
      <c r="CY220" s="289"/>
      <c r="CZ220" s="289"/>
      <c r="DA220" s="289"/>
      <c r="DB220" s="289"/>
      <c r="DC220" s="289"/>
      <c r="DD220" s="289"/>
      <c r="DE220" s="289"/>
      <c r="DF220" s="289"/>
      <c r="DG220" s="289"/>
      <c r="DH220" s="289"/>
      <c r="DI220" s="289"/>
      <c r="DJ220" s="289"/>
      <c r="DK220" s="289"/>
      <c r="DL220" s="289"/>
      <c r="DM220" s="289"/>
      <c r="DN220" s="289"/>
      <c r="DO220" s="289"/>
      <c r="DP220" s="289"/>
      <c r="DQ220" s="289"/>
      <c r="DR220" s="289"/>
      <c r="DS220" s="289"/>
      <c r="DT220" s="289"/>
      <c r="DU220" s="289"/>
      <c r="DV220" s="289"/>
      <c r="DW220" s="289"/>
      <c r="DX220" s="289"/>
      <c r="DY220" s="289"/>
      <c r="DZ220" s="289"/>
      <c r="EA220" s="289"/>
      <c r="EB220" s="289"/>
      <c r="EC220" s="289"/>
      <c r="ED220" s="289"/>
      <c r="EE220" s="289"/>
      <c r="EF220" s="289"/>
      <c r="EG220" s="289"/>
      <c r="EH220" s="289"/>
      <c r="EI220" s="289"/>
      <c r="EJ220" s="289"/>
      <c r="EK220" s="289"/>
      <c r="EL220" s="289"/>
      <c r="EM220" s="289"/>
      <c r="EN220" s="289"/>
      <c r="EO220" s="289"/>
      <c r="EP220" s="289"/>
      <c r="EQ220" s="289"/>
      <c r="ER220" s="289"/>
      <c r="ES220" s="289"/>
      <c r="ET220" s="289"/>
      <c r="EU220" s="289"/>
      <c r="EV220" s="289"/>
      <c r="EW220" s="289"/>
      <c r="EX220" s="289"/>
      <c r="EY220" s="289"/>
      <c r="EZ220" s="289"/>
      <c r="FA220" s="289"/>
      <c r="FB220" s="289"/>
      <c r="FC220" s="289"/>
      <c r="FD220" s="289"/>
      <c r="FE220" s="289"/>
      <c r="FF220" s="289"/>
      <c r="FG220" s="289"/>
      <c r="FH220" s="289"/>
      <c r="FI220" s="289"/>
      <c r="FJ220" s="289"/>
      <c r="FK220" s="289"/>
      <c r="FL220" s="289"/>
      <c r="FM220" s="289"/>
      <c r="FN220" s="289"/>
      <c r="FO220" s="289"/>
      <c r="FP220" s="289"/>
      <c r="FQ220" s="289"/>
      <c r="FR220" s="289"/>
      <c r="FS220" s="289"/>
      <c r="FT220" s="289"/>
      <c r="FU220" s="289"/>
      <c r="FV220" s="289"/>
      <c r="FW220" s="289"/>
      <c r="FX220" s="289"/>
      <c r="FY220" s="289"/>
      <c r="FZ220" s="289"/>
      <c r="GA220" s="289"/>
      <c r="GB220" s="289"/>
      <c r="GC220" s="289"/>
      <c r="GD220" s="289"/>
      <c r="GE220" s="289"/>
      <c r="GF220" s="289"/>
      <c r="GG220" s="289"/>
      <c r="GH220" s="289"/>
      <c r="GI220" s="289"/>
      <c r="GJ220" s="289"/>
      <c r="GK220" s="289"/>
      <c r="GL220" s="289"/>
      <c r="GM220" s="289"/>
      <c r="GN220" s="289"/>
      <c r="GO220" s="289"/>
      <c r="GP220" s="289"/>
      <c r="GQ220" s="289"/>
      <c r="GR220" s="289"/>
      <c r="GS220" s="289"/>
      <c r="GT220" s="289"/>
      <c r="GU220" s="289"/>
      <c r="GV220" s="289"/>
      <c r="GW220" s="289"/>
      <c r="GX220" s="289"/>
      <c r="GY220" s="289"/>
      <c r="GZ220" s="289"/>
      <c r="HA220" s="289"/>
      <c r="HB220" s="289"/>
      <c r="HC220" s="289"/>
      <c r="HD220" s="289"/>
      <c r="HE220" s="289"/>
      <c r="HF220" s="289"/>
      <c r="HG220" s="289"/>
      <c r="HH220" s="289"/>
      <c r="HI220" s="289"/>
      <c r="HJ220" s="289"/>
      <c r="HK220" s="289"/>
      <c r="HL220" s="289"/>
      <c r="HM220" s="289"/>
      <c r="HN220" s="289"/>
      <c r="HO220" s="289"/>
      <c r="HP220" s="289"/>
      <c r="HQ220" s="289"/>
      <c r="HR220" s="289"/>
      <c r="HS220" s="289"/>
      <c r="HT220" s="289"/>
      <c r="HU220" s="289"/>
      <c r="HV220" s="289"/>
      <c r="HW220" s="289"/>
    </row>
    <row r="221" spans="1:231" s="12" customFormat="1" ht="31.5">
      <c r="A221" s="10">
        <v>6</v>
      </c>
      <c r="B221" s="169" t="s">
        <v>994</v>
      </c>
      <c r="C221" s="140" t="s">
        <v>49</v>
      </c>
      <c r="D221" s="170">
        <v>2017</v>
      </c>
      <c r="E221" s="170">
        <v>2019</v>
      </c>
      <c r="F221" s="420" t="s">
        <v>158</v>
      </c>
      <c r="G221" s="417">
        <v>4178</v>
      </c>
      <c r="H221" s="417">
        <v>4178</v>
      </c>
      <c r="I221" s="418">
        <v>500</v>
      </c>
      <c r="J221" s="418">
        <v>500</v>
      </c>
      <c r="K221" s="419">
        <f>1630</f>
        <v>1630</v>
      </c>
      <c r="L221" s="315" t="s">
        <v>972</v>
      </c>
      <c r="M221" s="316" t="s">
        <v>995</v>
      </c>
      <c r="N221" s="404"/>
      <c r="O221" s="289"/>
      <c r="P221" s="172">
        <f t="shared" si="21"/>
        <v>2130</v>
      </c>
      <c r="Q221" s="172">
        <f t="shared" si="22"/>
        <v>2130</v>
      </c>
      <c r="R221" s="289"/>
      <c r="S221" s="289"/>
      <c r="T221" s="289"/>
      <c r="U221" s="289"/>
      <c r="V221" s="289"/>
      <c r="W221" s="289"/>
      <c r="X221" s="289"/>
      <c r="Y221" s="289"/>
      <c r="Z221" s="289"/>
      <c r="AA221" s="289"/>
      <c r="AB221" s="289"/>
      <c r="AC221" s="289"/>
      <c r="AD221" s="289"/>
      <c r="AE221" s="289"/>
      <c r="AF221" s="289"/>
      <c r="AG221" s="289"/>
      <c r="AH221" s="289"/>
      <c r="AI221" s="289"/>
      <c r="AJ221" s="289"/>
      <c r="AK221" s="289"/>
      <c r="AL221" s="289"/>
      <c r="AM221" s="289"/>
      <c r="AN221" s="289"/>
      <c r="AO221" s="289"/>
      <c r="AP221" s="289"/>
      <c r="AQ221" s="289"/>
      <c r="AR221" s="289"/>
      <c r="AS221" s="289"/>
      <c r="AT221" s="289"/>
      <c r="AU221" s="289"/>
      <c r="AV221" s="289"/>
      <c r="AW221" s="289"/>
      <c r="AX221" s="289"/>
      <c r="AY221" s="289"/>
      <c r="AZ221" s="289"/>
      <c r="BA221" s="289"/>
      <c r="BB221" s="289"/>
      <c r="BC221" s="289"/>
      <c r="BD221" s="289"/>
      <c r="BE221" s="289"/>
      <c r="BF221" s="289"/>
      <c r="BG221" s="289"/>
      <c r="BH221" s="289"/>
      <c r="BI221" s="289"/>
      <c r="BJ221" s="289"/>
      <c r="BK221" s="289"/>
      <c r="BL221" s="289"/>
      <c r="BM221" s="289"/>
      <c r="BN221" s="289"/>
      <c r="BO221" s="289"/>
      <c r="BP221" s="289"/>
      <c r="BQ221" s="289"/>
      <c r="BR221" s="289"/>
      <c r="BS221" s="289"/>
      <c r="BT221" s="289"/>
      <c r="BU221" s="289"/>
      <c r="BV221" s="289"/>
      <c r="BW221" s="289"/>
      <c r="BX221" s="289"/>
      <c r="BY221" s="289"/>
      <c r="BZ221" s="289"/>
      <c r="CA221" s="289"/>
      <c r="CB221" s="289"/>
      <c r="CC221" s="289"/>
      <c r="CD221" s="289"/>
      <c r="CE221" s="289"/>
      <c r="CF221" s="289"/>
      <c r="CG221" s="289"/>
      <c r="CH221" s="289"/>
      <c r="CI221" s="289"/>
      <c r="CJ221" s="289"/>
      <c r="CK221" s="289"/>
      <c r="CL221" s="289"/>
      <c r="CM221" s="289"/>
      <c r="CN221" s="289"/>
      <c r="CO221" s="289"/>
      <c r="CP221" s="289"/>
      <c r="CQ221" s="289"/>
      <c r="CR221" s="289"/>
      <c r="CS221" s="289"/>
      <c r="CT221" s="289"/>
      <c r="CU221" s="289"/>
      <c r="CV221" s="289"/>
      <c r="CW221" s="289"/>
      <c r="CX221" s="289"/>
      <c r="CY221" s="289"/>
      <c r="CZ221" s="289"/>
      <c r="DA221" s="289"/>
      <c r="DB221" s="289"/>
      <c r="DC221" s="289"/>
      <c r="DD221" s="289"/>
      <c r="DE221" s="289"/>
      <c r="DF221" s="289"/>
      <c r="DG221" s="289"/>
      <c r="DH221" s="289"/>
      <c r="DI221" s="289"/>
      <c r="DJ221" s="289"/>
      <c r="DK221" s="289"/>
      <c r="DL221" s="289"/>
      <c r="DM221" s="289"/>
      <c r="DN221" s="289"/>
      <c r="DO221" s="289"/>
      <c r="DP221" s="289"/>
      <c r="DQ221" s="289"/>
      <c r="DR221" s="289"/>
      <c r="DS221" s="289"/>
      <c r="DT221" s="289"/>
      <c r="DU221" s="289"/>
      <c r="DV221" s="289"/>
      <c r="DW221" s="289"/>
      <c r="DX221" s="289"/>
      <c r="DY221" s="289"/>
      <c r="DZ221" s="289"/>
      <c r="EA221" s="289"/>
      <c r="EB221" s="289"/>
      <c r="EC221" s="289"/>
      <c r="ED221" s="289"/>
      <c r="EE221" s="289"/>
      <c r="EF221" s="289"/>
      <c r="EG221" s="289"/>
      <c r="EH221" s="289"/>
      <c r="EI221" s="289"/>
      <c r="EJ221" s="289"/>
      <c r="EK221" s="289"/>
      <c r="EL221" s="289"/>
      <c r="EM221" s="289"/>
      <c r="EN221" s="289"/>
      <c r="EO221" s="289"/>
      <c r="EP221" s="289"/>
      <c r="EQ221" s="289"/>
      <c r="ER221" s="289"/>
      <c r="ES221" s="289"/>
      <c r="ET221" s="289"/>
      <c r="EU221" s="289"/>
      <c r="EV221" s="289"/>
      <c r="EW221" s="289"/>
      <c r="EX221" s="289"/>
      <c r="EY221" s="289"/>
      <c r="EZ221" s="289"/>
      <c r="FA221" s="289"/>
      <c r="FB221" s="289"/>
      <c r="FC221" s="289"/>
      <c r="FD221" s="289"/>
      <c r="FE221" s="289"/>
      <c r="FF221" s="289"/>
      <c r="FG221" s="289"/>
      <c r="FH221" s="289"/>
      <c r="FI221" s="289"/>
      <c r="FJ221" s="289"/>
      <c r="FK221" s="289"/>
      <c r="FL221" s="289"/>
      <c r="FM221" s="289"/>
      <c r="FN221" s="289"/>
      <c r="FO221" s="289"/>
      <c r="FP221" s="289"/>
      <c r="FQ221" s="289"/>
      <c r="FR221" s="289"/>
      <c r="FS221" s="289"/>
      <c r="FT221" s="289"/>
      <c r="FU221" s="289"/>
      <c r="FV221" s="289"/>
      <c r="FW221" s="289"/>
      <c r="FX221" s="289"/>
      <c r="FY221" s="289"/>
      <c r="FZ221" s="289"/>
      <c r="GA221" s="289"/>
      <c r="GB221" s="289"/>
      <c r="GC221" s="289"/>
      <c r="GD221" s="289"/>
      <c r="GE221" s="289"/>
      <c r="GF221" s="289"/>
      <c r="GG221" s="289"/>
      <c r="GH221" s="289"/>
      <c r="GI221" s="289"/>
      <c r="GJ221" s="289"/>
      <c r="GK221" s="289"/>
      <c r="GL221" s="289"/>
      <c r="GM221" s="289"/>
      <c r="GN221" s="289"/>
      <c r="GO221" s="289"/>
      <c r="GP221" s="289"/>
      <c r="GQ221" s="289"/>
      <c r="GR221" s="289"/>
      <c r="GS221" s="289"/>
      <c r="GT221" s="289"/>
      <c r="GU221" s="289"/>
      <c r="GV221" s="289"/>
      <c r="GW221" s="289"/>
      <c r="GX221" s="289"/>
      <c r="GY221" s="289"/>
      <c r="GZ221" s="289"/>
      <c r="HA221" s="289"/>
      <c r="HB221" s="289"/>
      <c r="HC221" s="289"/>
      <c r="HD221" s="289"/>
      <c r="HE221" s="289"/>
      <c r="HF221" s="289"/>
      <c r="HG221" s="289"/>
      <c r="HH221" s="289"/>
      <c r="HI221" s="289"/>
      <c r="HJ221" s="289"/>
      <c r="HK221" s="289"/>
      <c r="HL221" s="289"/>
      <c r="HM221" s="289"/>
      <c r="HN221" s="289"/>
      <c r="HO221" s="289"/>
      <c r="HP221" s="289"/>
      <c r="HQ221" s="289"/>
      <c r="HR221" s="289"/>
      <c r="HS221" s="289"/>
      <c r="HT221" s="289"/>
      <c r="HU221" s="289"/>
      <c r="HV221" s="289"/>
      <c r="HW221" s="289"/>
    </row>
    <row r="222" spans="1:231" s="12" customFormat="1" ht="31.5">
      <c r="A222" s="10">
        <v>7</v>
      </c>
      <c r="B222" s="25" t="s">
        <v>630</v>
      </c>
      <c r="C222" s="140" t="s">
        <v>44</v>
      </c>
      <c r="D222" s="170">
        <v>2017</v>
      </c>
      <c r="E222" s="170">
        <v>2019</v>
      </c>
      <c r="F222" s="420" t="s">
        <v>746</v>
      </c>
      <c r="G222" s="417">
        <v>10000</v>
      </c>
      <c r="H222" s="417">
        <v>3500</v>
      </c>
      <c r="I222" s="418">
        <v>3500</v>
      </c>
      <c r="J222" s="418">
        <v>0</v>
      </c>
      <c r="K222" s="419">
        <f>1750</f>
        <v>1750</v>
      </c>
      <c r="L222" s="315" t="s">
        <v>930</v>
      </c>
      <c r="M222" s="316" t="s">
        <v>996</v>
      </c>
      <c r="N222" s="404"/>
      <c r="O222" s="289"/>
      <c r="P222" s="172">
        <f t="shared" si="21"/>
        <v>5250</v>
      </c>
      <c r="Q222" s="172">
        <f t="shared" si="22"/>
        <v>1750</v>
      </c>
      <c r="R222" s="289"/>
      <c r="S222" s="289"/>
      <c r="T222" s="289"/>
      <c r="U222" s="289"/>
      <c r="V222" s="289"/>
      <c r="W222" s="289"/>
      <c r="X222" s="289"/>
      <c r="Y222" s="289"/>
      <c r="Z222" s="289"/>
      <c r="AA222" s="289"/>
      <c r="AB222" s="289"/>
      <c r="AC222" s="289"/>
      <c r="AD222" s="289"/>
      <c r="AE222" s="289"/>
      <c r="AF222" s="289"/>
      <c r="AG222" s="289"/>
      <c r="AH222" s="289"/>
      <c r="AI222" s="289"/>
      <c r="AJ222" s="289"/>
      <c r="AK222" s="289"/>
      <c r="AL222" s="289"/>
      <c r="AM222" s="289"/>
      <c r="AN222" s="289"/>
      <c r="AO222" s="289"/>
      <c r="AP222" s="289"/>
      <c r="AQ222" s="289"/>
      <c r="AR222" s="289"/>
      <c r="AS222" s="289"/>
      <c r="AT222" s="289"/>
      <c r="AU222" s="289"/>
      <c r="AV222" s="289"/>
      <c r="AW222" s="289"/>
      <c r="AX222" s="289"/>
      <c r="AY222" s="289"/>
      <c r="AZ222" s="289"/>
      <c r="BA222" s="289"/>
      <c r="BB222" s="289"/>
      <c r="BC222" s="289"/>
      <c r="BD222" s="289"/>
      <c r="BE222" s="289"/>
      <c r="BF222" s="289"/>
      <c r="BG222" s="289"/>
      <c r="BH222" s="289"/>
      <c r="BI222" s="289"/>
      <c r="BJ222" s="289"/>
      <c r="BK222" s="289"/>
      <c r="BL222" s="289"/>
      <c r="BM222" s="289"/>
      <c r="BN222" s="289"/>
      <c r="BO222" s="289"/>
      <c r="BP222" s="289"/>
      <c r="BQ222" s="289"/>
      <c r="BR222" s="289"/>
      <c r="BS222" s="289"/>
      <c r="BT222" s="289"/>
      <c r="BU222" s="289"/>
      <c r="BV222" s="289"/>
      <c r="BW222" s="289"/>
      <c r="BX222" s="289"/>
      <c r="BY222" s="289"/>
      <c r="BZ222" s="289"/>
      <c r="CA222" s="289"/>
      <c r="CB222" s="289"/>
      <c r="CC222" s="289"/>
      <c r="CD222" s="289"/>
      <c r="CE222" s="289"/>
      <c r="CF222" s="289"/>
      <c r="CG222" s="289"/>
      <c r="CH222" s="289"/>
      <c r="CI222" s="289"/>
      <c r="CJ222" s="289"/>
      <c r="CK222" s="289"/>
      <c r="CL222" s="289"/>
      <c r="CM222" s="289"/>
      <c r="CN222" s="289"/>
      <c r="CO222" s="289"/>
      <c r="CP222" s="289"/>
      <c r="CQ222" s="289"/>
      <c r="CR222" s="289"/>
      <c r="CS222" s="289"/>
      <c r="CT222" s="289"/>
      <c r="CU222" s="289"/>
      <c r="CV222" s="289"/>
      <c r="CW222" s="289"/>
      <c r="CX222" s="289"/>
      <c r="CY222" s="289"/>
      <c r="CZ222" s="289"/>
      <c r="DA222" s="289"/>
      <c r="DB222" s="289"/>
      <c r="DC222" s="289"/>
      <c r="DD222" s="289"/>
      <c r="DE222" s="289"/>
      <c r="DF222" s="289"/>
      <c r="DG222" s="289"/>
      <c r="DH222" s="289"/>
      <c r="DI222" s="289"/>
      <c r="DJ222" s="289"/>
      <c r="DK222" s="289"/>
      <c r="DL222" s="289"/>
      <c r="DM222" s="289"/>
      <c r="DN222" s="289"/>
      <c r="DO222" s="289"/>
      <c r="DP222" s="289"/>
      <c r="DQ222" s="289"/>
      <c r="DR222" s="289"/>
      <c r="DS222" s="289"/>
      <c r="DT222" s="289"/>
      <c r="DU222" s="289"/>
      <c r="DV222" s="289"/>
      <c r="DW222" s="289"/>
      <c r="DX222" s="289"/>
      <c r="DY222" s="289"/>
      <c r="DZ222" s="289"/>
      <c r="EA222" s="289"/>
      <c r="EB222" s="289"/>
      <c r="EC222" s="289"/>
      <c r="ED222" s="289"/>
      <c r="EE222" s="289"/>
      <c r="EF222" s="289"/>
      <c r="EG222" s="289"/>
      <c r="EH222" s="289"/>
      <c r="EI222" s="289"/>
      <c r="EJ222" s="289"/>
      <c r="EK222" s="289"/>
      <c r="EL222" s="289"/>
      <c r="EM222" s="289"/>
      <c r="EN222" s="289"/>
      <c r="EO222" s="289"/>
      <c r="EP222" s="289"/>
      <c r="EQ222" s="289"/>
      <c r="ER222" s="289"/>
      <c r="ES222" s="289"/>
      <c r="ET222" s="289"/>
      <c r="EU222" s="289"/>
      <c r="EV222" s="289"/>
      <c r="EW222" s="289"/>
      <c r="EX222" s="289"/>
      <c r="EY222" s="289"/>
      <c r="EZ222" s="289"/>
      <c r="FA222" s="289"/>
      <c r="FB222" s="289"/>
      <c r="FC222" s="289"/>
      <c r="FD222" s="289"/>
      <c r="FE222" s="289"/>
      <c r="FF222" s="289"/>
      <c r="FG222" s="289"/>
      <c r="FH222" s="289"/>
      <c r="FI222" s="289"/>
      <c r="FJ222" s="289"/>
      <c r="FK222" s="289"/>
      <c r="FL222" s="289"/>
      <c r="FM222" s="289"/>
      <c r="FN222" s="289"/>
      <c r="FO222" s="289"/>
      <c r="FP222" s="289"/>
      <c r="FQ222" s="289"/>
      <c r="FR222" s="289"/>
      <c r="FS222" s="289"/>
      <c r="FT222" s="289"/>
      <c r="FU222" s="289"/>
      <c r="FV222" s="289"/>
      <c r="FW222" s="289"/>
      <c r="FX222" s="289"/>
      <c r="FY222" s="289"/>
      <c r="FZ222" s="289"/>
      <c r="GA222" s="289"/>
      <c r="GB222" s="289"/>
      <c r="GC222" s="289"/>
      <c r="GD222" s="289"/>
      <c r="GE222" s="289"/>
      <c r="GF222" s="289"/>
      <c r="GG222" s="289"/>
      <c r="GH222" s="289"/>
      <c r="GI222" s="289"/>
      <c r="GJ222" s="289"/>
      <c r="GK222" s="289"/>
      <c r="GL222" s="289"/>
      <c r="GM222" s="289"/>
      <c r="GN222" s="289"/>
      <c r="GO222" s="289"/>
      <c r="GP222" s="289"/>
      <c r="GQ222" s="289"/>
      <c r="GR222" s="289"/>
      <c r="GS222" s="289"/>
      <c r="GT222" s="289"/>
      <c r="GU222" s="289"/>
      <c r="GV222" s="289"/>
      <c r="GW222" s="289"/>
      <c r="GX222" s="289"/>
      <c r="GY222" s="289"/>
      <c r="GZ222" s="289"/>
      <c r="HA222" s="289"/>
      <c r="HB222" s="289"/>
      <c r="HC222" s="289"/>
      <c r="HD222" s="289"/>
      <c r="HE222" s="289"/>
      <c r="HF222" s="289"/>
      <c r="HG222" s="289"/>
      <c r="HH222" s="289"/>
      <c r="HI222" s="289"/>
      <c r="HJ222" s="289"/>
      <c r="HK222" s="289"/>
      <c r="HL222" s="289"/>
      <c r="HM222" s="289"/>
      <c r="HN222" s="289"/>
      <c r="HO222" s="289"/>
      <c r="HP222" s="289"/>
      <c r="HQ222" s="289"/>
      <c r="HR222" s="289"/>
      <c r="HS222" s="289"/>
      <c r="HT222" s="289"/>
      <c r="HU222" s="289"/>
      <c r="HV222" s="289"/>
      <c r="HW222" s="289"/>
    </row>
    <row r="223" spans="1:231" s="14" customFormat="1" ht="31.5">
      <c r="A223" s="10">
        <v>8</v>
      </c>
      <c r="B223" s="27" t="s">
        <v>503</v>
      </c>
      <c r="C223" s="218" t="s">
        <v>504</v>
      </c>
      <c r="D223" s="415">
        <v>2017</v>
      </c>
      <c r="E223" s="415">
        <v>2019</v>
      </c>
      <c r="F223" s="312" t="s">
        <v>301</v>
      </c>
      <c r="G223" s="403">
        <v>4500</v>
      </c>
      <c r="H223" s="403">
        <v>4500</v>
      </c>
      <c r="I223" s="418">
        <v>500</v>
      </c>
      <c r="J223" s="418">
        <v>500</v>
      </c>
      <c r="K223" s="421">
        <f>1775</f>
        <v>1775</v>
      </c>
      <c r="L223" s="315" t="s">
        <v>997</v>
      </c>
      <c r="M223" s="316" t="s">
        <v>1253</v>
      </c>
      <c r="N223" s="404"/>
      <c r="O223" s="289"/>
      <c r="P223" s="172">
        <f t="shared" si="21"/>
        <v>2275</v>
      </c>
      <c r="Q223" s="172">
        <f t="shared" si="22"/>
        <v>2275</v>
      </c>
      <c r="R223" s="289"/>
      <c r="S223" s="289"/>
      <c r="T223" s="289"/>
      <c r="U223" s="289"/>
      <c r="V223" s="289"/>
      <c r="W223" s="289"/>
      <c r="X223" s="289"/>
      <c r="Y223" s="289"/>
      <c r="Z223" s="289"/>
      <c r="AA223" s="289"/>
      <c r="AB223" s="289"/>
      <c r="AC223" s="289"/>
      <c r="AD223" s="289"/>
      <c r="AE223" s="289"/>
      <c r="AF223" s="289"/>
      <c r="AG223" s="289"/>
      <c r="AH223" s="289"/>
      <c r="AI223" s="289"/>
      <c r="AJ223" s="289"/>
      <c r="AK223" s="289"/>
      <c r="AL223" s="289"/>
      <c r="AM223" s="289"/>
      <c r="AN223" s="289"/>
      <c r="AO223" s="289"/>
      <c r="AP223" s="289"/>
      <c r="AQ223" s="289"/>
      <c r="AR223" s="289"/>
      <c r="AS223" s="289"/>
      <c r="AT223" s="289"/>
      <c r="AU223" s="289"/>
      <c r="AV223" s="289"/>
      <c r="AW223" s="289"/>
      <c r="AX223" s="289"/>
      <c r="AY223" s="289"/>
      <c r="AZ223" s="289"/>
      <c r="BA223" s="289"/>
      <c r="BB223" s="289"/>
      <c r="BC223" s="289"/>
      <c r="BD223" s="289"/>
      <c r="BE223" s="289"/>
      <c r="BF223" s="289"/>
      <c r="BG223" s="289"/>
      <c r="BH223" s="289"/>
      <c r="BI223" s="289"/>
      <c r="BJ223" s="289"/>
      <c r="BK223" s="289"/>
      <c r="BL223" s="289"/>
      <c r="BM223" s="289"/>
      <c r="BN223" s="289"/>
      <c r="BO223" s="289"/>
      <c r="BP223" s="289"/>
      <c r="BQ223" s="289"/>
      <c r="BR223" s="289"/>
      <c r="BS223" s="289"/>
      <c r="BT223" s="289"/>
      <c r="BU223" s="289"/>
      <c r="BV223" s="289"/>
      <c r="BW223" s="289"/>
      <c r="BX223" s="289"/>
      <c r="BY223" s="289"/>
      <c r="BZ223" s="289"/>
      <c r="CA223" s="289"/>
      <c r="CB223" s="289"/>
      <c r="CC223" s="289"/>
      <c r="CD223" s="289"/>
      <c r="CE223" s="289"/>
      <c r="CF223" s="289"/>
      <c r="CG223" s="289"/>
      <c r="CH223" s="289"/>
      <c r="CI223" s="289"/>
      <c r="CJ223" s="289"/>
      <c r="CK223" s="289"/>
      <c r="CL223" s="289"/>
      <c r="CM223" s="289"/>
      <c r="CN223" s="289"/>
      <c r="CO223" s="289"/>
      <c r="CP223" s="289"/>
      <c r="CQ223" s="289"/>
      <c r="CR223" s="289"/>
      <c r="CS223" s="289"/>
      <c r="CT223" s="289"/>
      <c r="CU223" s="289"/>
      <c r="CV223" s="289"/>
      <c r="CW223" s="289"/>
      <c r="CX223" s="289"/>
      <c r="CY223" s="289"/>
      <c r="CZ223" s="289"/>
      <c r="DA223" s="289"/>
      <c r="DB223" s="289"/>
      <c r="DC223" s="289"/>
      <c r="DD223" s="289"/>
      <c r="DE223" s="289"/>
      <c r="DF223" s="289"/>
      <c r="DG223" s="289"/>
      <c r="DH223" s="289"/>
      <c r="DI223" s="289"/>
      <c r="DJ223" s="289"/>
      <c r="DK223" s="289"/>
      <c r="DL223" s="289"/>
      <c r="DM223" s="289"/>
      <c r="DN223" s="289"/>
      <c r="DO223" s="289"/>
      <c r="DP223" s="289"/>
      <c r="DQ223" s="289"/>
      <c r="DR223" s="289"/>
      <c r="DS223" s="289"/>
      <c r="DT223" s="289"/>
      <c r="DU223" s="289"/>
      <c r="DV223" s="289"/>
      <c r="DW223" s="289"/>
      <c r="DX223" s="289"/>
      <c r="DY223" s="289"/>
      <c r="DZ223" s="289"/>
      <c r="EA223" s="289"/>
      <c r="EB223" s="289"/>
      <c r="EC223" s="289"/>
      <c r="ED223" s="289"/>
      <c r="EE223" s="289"/>
      <c r="EF223" s="289"/>
      <c r="EG223" s="289"/>
      <c r="EH223" s="289"/>
      <c r="EI223" s="289"/>
      <c r="EJ223" s="289"/>
      <c r="EK223" s="289"/>
      <c r="EL223" s="289"/>
      <c r="EM223" s="289"/>
      <c r="EN223" s="289"/>
      <c r="EO223" s="289"/>
      <c r="EP223" s="289"/>
      <c r="EQ223" s="289"/>
      <c r="ER223" s="289"/>
      <c r="ES223" s="289"/>
      <c r="ET223" s="289"/>
      <c r="EU223" s="289"/>
      <c r="EV223" s="289"/>
      <c r="EW223" s="289"/>
      <c r="EX223" s="289"/>
      <c r="EY223" s="289"/>
      <c r="EZ223" s="289"/>
      <c r="FA223" s="289"/>
      <c r="FB223" s="289"/>
      <c r="FC223" s="289"/>
      <c r="FD223" s="289"/>
      <c r="FE223" s="289"/>
      <c r="FF223" s="289"/>
      <c r="FG223" s="289"/>
      <c r="FH223" s="289"/>
      <c r="FI223" s="289"/>
      <c r="FJ223" s="289"/>
      <c r="FK223" s="289"/>
      <c r="FL223" s="289"/>
      <c r="FM223" s="289"/>
      <c r="FN223" s="289"/>
      <c r="FO223" s="289"/>
      <c r="FP223" s="289"/>
      <c r="FQ223" s="289"/>
      <c r="FR223" s="289"/>
      <c r="FS223" s="289"/>
      <c r="FT223" s="289"/>
      <c r="FU223" s="289"/>
      <c r="FV223" s="289"/>
      <c r="FW223" s="289"/>
      <c r="FX223" s="289"/>
      <c r="FY223" s="289"/>
      <c r="FZ223" s="289"/>
      <c r="GA223" s="289"/>
      <c r="GB223" s="289"/>
      <c r="GC223" s="289"/>
      <c r="GD223" s="289"/>
      <c r="GE223" s="289"/>
      <c r="GF223" s="289"/>
      <c r="GG223" s="289"/>
      <c r="GH223" s="289"/>
      <c r="GI223" s="289"/>
      <c r="GJ223" s="289"/>
      <c r="GK223" s="289"/>
      <c r="GL223" s="289"/>
      <c r="GM223" s="289"/>
      <c r="GN223" s="289"/>
      <c r="GO223" s="289"/>
      <c r="GP223" s="289"/>
      <c r="GQ223" s="289"/>
      <c r="GR223" s="289"/>
      <c r="GS223" s="289"/>
      <c r="GT223" s="289"/>
      <c r="GU223" s="289"/>
      <c r="GV223" s="289"/>
      <c r="GW223" s="289"/>
      <c r="GX223" s="289"/>
      <c r="GY223" s="289"/>
      <c r="GZ223" s="289"/>
      <c r="HA223" s="289"/>
      <c r="HB223" s="289"/>
      <c r="HC223" s="289"/>
      <c r="HD223" s="289"/>
      <c r="HE223" s="289"/>
      <c r="HF223" s="289"/>
      <c r="HG223" s="289"/>
      <c r="HH223" s="289"/>
      <c r="HI223" s="289"/>
      <c r="HJ223" s="289"/>
      <c r="HK223" s="289"/>
      <c r="HL223" s="289"/>
      <c r="HM223" s="289"/>
      <c r="HN223" s="289"/>
      <c r="HO223" s="289"/>
      <c r="HP223" s="289"/>
      <c r="HQ223" s="289"/>
      <c r="HR223" s="289"/>
      <c r="HS223" s="289"/>
      <c r="HT223" s="289"/>
      <c r="HU223" s="289"/>
      <c r="HV223" s="289"/>
      <c r="HW223" s="289"/>
    </row>
    <row r="224" spans="1:231" ht="31.5">
      <c r="A224" s="10">
        <v>9</v>
      </c>
      <c r="B224" s="64" t="s">
        <v>133</v>
      </c>
      <c r="C224" s="422" t="s">
        <v>17</v>
      </c>
      <c r="D224" s="415">
        <v>2017</v>
      </c>
      <c r="E224" s="415">
        <v>2019</v>
      </c>
      <c r="F224" s="423" t="s">
        <v>134</v>
      </c>
      <c r="G224" s="403">
        <v>5795</v>
      </c>
      <c r="H224" s="403">
        <f>G224</f>
        <v>5795</v>
      </c>
      <c r="I224" s="418">
        <v>305</v>
      </c>
      <c r="J224" s="418">
        <f>I224</f>
        <v>305</v>
      </c>
      <c r="K224" s="403">
        <v>2456</v>
      </c>
      <c r="L224" s="424" t="s">
        <v>998</v>
      </c>
      <c r="M224" s="73"/>
      <c r="N224" s="404"/>
      <c r="P224" s="172">
        <f t="shared" si="21"/>
        <v>2761</v>
      </c>
      <c r="Q224" s="172">
        <f t="shared" si="22"/>
        <v>2761</v>
      </c>
    </row>
    <row r="225" spans="1:231" ht="47.25" customHeight="1">
      <c r="A225" s="10">
        <v>10</v>
      </c>
      <c r="B225" s="28" t="s">
        <v>506</v>
      </c>
      <c r="C225" s="425" t="s">
        <v>49</v>
      </c>
      <c r="D225" s="415">
        <v>2017</v>
      </c>
      <c r="E225" s="415">
        <v>2019</v>
      </c>
      <c r="F225" s="423" t="s">
        <v>999</v>
      </c>
      <c r="G225" s="246">
        <v>6100</v>
      </c>
      <c r="H225" s="314">
        <f>G225</f>
        <v>6100</v>
      </c>
      <c r="I225" s="418">
        <v>500</v>
      </c>
      <c r="J225" s="418">
        <v>500</v>
      </c>
      <c r="K225" s="403">
        <v>2495</v>
      </c>
      <c r="L225" s="424" t="s">
        <v>972</v>
      </c>
      <c r="M225" s="73"/>
      <c r="N225" s="404"/>
      <c r="P225" s="172">
        <f t="shared" si="21"/>
        <v>2995</v>
      </c>
      <c r="Q225" s="172">
        <f t="shared" si="22"/>
        <v>2995</v>
      </c>
    </row>
    <row r="226" spans="1:231" s="8" customFormat="1" ht="51.75" customHeight="1">
      <c r="A226" s="10">
        <v>11</v>
      </c>
      <c r="B226" s="311" t="s">
        <v>162</v>
      </c>
      <c r="C226" s="426" t="s">
        <v>49</v>
      </c>
      <c r="D226" s="3">
        <v>2017</v>
      </c>
      <c r="E226" s="3">
        <v>2018</v>
      </c>
      <c r="F226" s="312" t="s">
        <v>1000</v>
      </c>
      <c r="G226" s="403">
        <v>12177</v>
      </c>
      <c r="H226" s="403">
        <v>10924</v>
      </c>
      <c r="I226" s="314">
        <v>4000</v>
      </c>
      <c r="J226" s="314">
        <v>4000</v>
      </c>
      <c r="K226" s="421">
        <f>2916</f>
        <v>2916</v>
      </c>
      <c r="L226" s="315" t="s">
        <v>972</v>
      </c>
      <c r="M226" s="316" t="s">
        <v>1001</v>
      </c>
      <c r="N226" s="404">
        <v>1000</v>
      </c>
      <c r="O226" s="289"/>
      <c r="P226" s="172">
        <f t="shared" si="21"/>
        <v>6916</v>
      </c>
      <c r="Q226" s="172">
        <f t="shared" si="22"/>
        <v>6916</v>
      </c>
      <c r="R226" s="289"/>
      <c r="S226" s="289"/>
      <c r="T226" s="289"/>
      <c r="U226" s="289"/>
      <c r="V226" s="289"/>
      <c r="W226" s="289"/>
      <c r="X226" s="289"/>
      <c r="Y226" s="289"/>
      <c r="Z226" s="289"/>
      <c r="AA226" s="289"/>
      <c r="AB226" s="289"/>
      <c r="AC226" s="289"/>
      <c r="AD226" s="289"/>
      <c r="AE226" s="289"/>
      <c r="AF226" s="289"/>
      <c r="AG226" s="289"/>
      <c r="AH226" s="289"/>
      <c r="AI226" s="289"/>
      <c r="AJ226" s="289"/>
      <c r="AK226" s="289"/>
      <c r="AL226" s="289"/>
      <c r="AM226" s="289"/>
      <c r="AN226" s="289"/>
      <c r="AO226" s="289"/>
      <c r="AP226" s="289"/>
      <c r="AQ226" s="289"/>
      <c r="AR226" s="289"/>
      <c r="AS226" s="289"/>
      <c r="AT226" s="289"/>
      <c r="AU226" s="289"/>
      <c r="AV226" s="289"/>
      <c r="AW226" s="289"/>
      <c r="AX226" s="289"/>
      <c r="AY226" s="289"/>
      <c r="AZ226" s="289"/>
      <c r="BA226" s="289"/>
      <c r="BB226" s="289"/>
      <c r="BC226" s="289"/>
      <c r="BD226" s="289"/>
      <c r="BE226" s="289"/>
      <c r="BF226" s="289"/>
      <c r="BG226" s="289"/>
      <c r="BH226" s="289"/>
      <c r="BI226" s="289"/>
      <c r="BJ226" s="289"/>
      <c r="BK226" s="289"/>
      <c r="BL226" s="289"/>
      <c r="BM226" s="289"/>
      <c r="BN226" s="289"/>
      <c r="BO226" s="289"/>
      <c r="BP226" s="289"/>
      <c r="BQ226" s="289"/>
      <c r="BR226" s="289"/>
      <c r="BS226" s="289"/>
      <c r="BT226" s="289"/>
      <c r="BU226" s="289"/>
      <c r="BV226" s="289"/>
      <c r="BW226" s="289"/>
      <c r="BX226" s="289"/>
      <c r="BY226" s="289"/>
      <c r="BZ226" s="289"/>
      <c r="CA226" s="289"/>
      <c r="CB226" s="289"/>
      <c r="CC226" s="289"/>
      <c r="CD226" s="289"/>
      <c r="CE226" s="289"/>
      <c r="CF226" s="289"/>
      <c r="CG226" s="289"/>
      <c r="CH226" s="289"/>
      <c r="CI226" s="289"/>
      <c r="CJ226" s="289"/>
      <c r="CK226" s="289"/>
      <c r="CL226" s="289"/>
      <c r="CM226" s="289"/>
      <c r="CN226" s="289"/>
      <c r="CO226" s="289"/>
      <c r="CP226" s="289"/>
      <c r="CQ226" s="289"/>
      <c r="CR226" s="289"/>
      <c r="CS226" s="289"/>
      <c r="CT226" s="289"/>
      <c r="CU226" s="289"/>
      <c r="CV226" s="289"/>
      <c r="CW226" s="289"/>
      <c r="CX226" s="289"/>
      <c r="CY226" s="289"/>
      <c r="CZ226" s="289"/>
      <c r="DA226" s="289"/>
      <c r="DB226" s="289"/>
      <c r="DC226" s="289"/>
      <c r="DD226" s="289"/>
      <c r="DE226" s="289"/>
      <c r="DF226" s="289"/>
      <c r="DG226" s="289"/>
      <c r="DH226" s="289"/>
      <c r="DI226" s="289"/>
      <c r="DJ226" s="289"/>
      <c r="DK226" s="289"/>
      <c r="DL226" s="289"/>
      <c r="DM226" s="289"/>
      <c r="DN226" s="289"/>
      <c r="DO226" s="289"/>
      <c r="DP226" s="289"/>
      <c r="DQ226" s="289"/>
      <c r="DR226" s="289"/>
      <c r="DS226" s="289"/>
      <c r="DT226" s="289"/>
      <c r="DU226" s="289"/>
      <c r="DV226" s="289"/>
      <c r="DW226" s="289"/>
      <c r="DX226" s="289"/>
      <c r="DY226" s="289"/>
      <c r="DZ226" s="289"/>
      <c r="EA226" s="289"/>
      <c r="EB226" s="289"/>
      <c r="EC226" s="289"/>
      <c r="ED226" s="289"/>
      <c r="EE226" s="289"/>
      <c r="EF226" s="289"/>
      <c r="EG226" s="289"/>
      <c r="EH226" s="289"/>
      <c r="EI226" s="289"/>
      <c r="EJ226" s="289"/>
      <c r="EK226" s="289"/>
      <c r="EL226" s="289"/>
      <c r="EM226" s="289"/>
      <c r="EN226" s="289"/>
      <c r="EO226" s="289"/>
      <c r="EP226" s="289"/>
      <c r="EQ226" s="289"/>
      <c r="ER226" s="289"/>
      <c r="ES226" s="289"/>
      <c r="ET226" s="289"/>
      <c r="EU226" s="289"/>
      <c r="EV226" s="289"/>
      <c r="EW226" s="289"/>
      <c r="EX226" s="289"/>
      <c r="EY226" s="289"/>
      <c r="EZ226" s="289"/>
      <c r="FA226" s="289"/>
      <c r="FB226" s="289"/>
      <c r="FC226" s="289"/>
      <c r="FD226" s="289"/>
      <c r="FE226" s="289"/>
      <c r="FF226" s="289"/>
      <c r="FG226" s="289"/>
      <c r="FH226" s="289"/>
      <c r="FI226" s="289"/>
      <c r="FJ226" s="289"/>
      <c r="FK226" s="289"/>
      <c r="FL226" s="289"/>
      <c r="FM226" s="289"/>
      <c r="FN226" s="289"/>
      <c r="FO226" s="289"/>
      <c r="FP226" s="289"/>
      <c r="FQ226" s="289"/>
      <c r="FR226" s="289"/>
      <c r="FS226" s="289"/>
      <c r="FT226" s="289"/>
      <c r="FU226" s="289"/>
      <c r="FV226" s="289"/>
      <c r="FW226" s="289"/>
      <c r="FX226" s="289"/>
      <c r="FY226" s="289"/>
      <c r="FZ226" s="289"/>
      <c r="GA226" s="289"/>
      <c r="GB226" s="289"/>
      <c r="GC226" s="289"/>
      <c r="GD226" s="289"/>
      <c r="GE226" s="289"/>
      <c r="GF226" s="289"/>
      <c r="GG226" s="289"/>
      <c r="GH226" s="289"/>
      <c r="GI226" s="289"/>
      <c r="GJ226" s="289"/>
      <c r="GK226" s="289"/>
      <c r="GL226" s="289"/>
      <c r="GM226" s="289"/>
      <c r="GN226" s="289"/>
      <c r="GO226" s="289"/>
      <c r="GP226" s="289"/>
      <c r="GQ226" s="289"/>
      <c r="GR226" s="289"/>
      <c r="GS226" s="289"/>
      <c r="GT226" s="289"/>
      <c r="GU226" s="289"/>
      <c r="GV226" s="289"/>
      <c r="GW226" s="289"/>
      <c r="GX226" s="289"/>
      <c r="GY226" s="289"/>
      <c r="GZ226" s="289"/>
      <c r="HA226" s="289"/>
      <c r="HB226" s="289"/>
      <c r="HC226" s="289"/>
      <c r="HD226" s="289"/>
      <c r="HE226" s="289"/>
      <c r="HF226" s="289"/>
      <c r="HG226" s="289"/>
      <c r="HH226" s="289"/>
      <c r="HI226" s="289"/>
      <c r="HJ226" s="289"/>
      <c r="HK226" s="289"/>
      <c r="HL226" s="289"/>
      <c r="HM226" s="289"/>
      <c r="HN226" s="289"/>
      <c r="HO226" s="289"/>
      <c r="HP226" s="289"/>
      <c r="HQ226" s="289"/>
      <c r="HR226" s="289"/>
      <c r="HS226" s="289"/>
      <c r="HT226" s="289"/>
      <c r="HU226" s="289"/>
      <c r="HV226" s="289"/>
      <c r="HW226" s="289"/>
    </row>
    <row r="227" spans="1:231" s="222" customFormat="1" ht="31.5">
      <c r="A227" s="10">
        <v>12</v>
      </c>
      <c r="B227" s="360" t="s">
        <v>105</v>
      </c>
      <c r="C227" s="4" t="s">
        <v>33</v>
      </c>
      <c r="D227" s="427">
        <v>2014</v>
      </c>
      <c r="E227" s="3">
        <v>2019</v>
      </c>
      <c r="F227" s="361" t="s">
        <v>106</v>
      </c>
      <c r="G227" s="288">
        <v>85119</v>
      </c>
      <c r="H227" s="288">
        <v>50400</v>
      </c>
      <c r="I227" s="288">
        <v>44500</v>
      </c>
      <c r="J227" s="288">
        <f>I227</f>
        <v>44500</v>
      </c>
      <c r="K227" s="288">
        <v>2950</v>
      </c>
      <c r="L227" s="36" t="s">
        <v>960</v>
      </c>
      <c r="M227" s="221"/>
      <c r="N227" s="12"/>
      <c r="O227" s="12"/>
      <c r="P227" s="172">
        <f t="shared" si="21"/>
        <v>47450</v>
      </c>
      <c r="Q227" s="172">
        <f t="shared" si="22"/>
        <v>47450</v>
      </c>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c r="BF227" s="12"/>
      <c r="BG227" s="12"/>
      <c r="BH227" s="12"/>
      <c r="BI227" s="12"/>
      <c r="BJ227" s="12"/>
      <c r="BK227" s="12"/>
      <c r="BL227" s="12"/>
      <c r="BM227" s="12"/>
      <c r="BN227" s="12"/>
      <c r="BO227" s="12"/>
      <c r="BP227" s="12"/>
      <c r="BQ227" s="12"/>
      <c r="BR227" s="12"/>
      <c r="BS227" s="12"/>
      <c r="BT227" s="12"/>
      <c r="BU227" s="12"/>
      <c r="BV227" s="12"/>
      <c r="BW227" s="12"/>
      <c r="BX227" s="12"/>
      <c r="BY227" s="12"/>
      <c r="BZ227" s="12"/>
      <c r="CA227" s="12"/>
      <c r="CB227" s="12"/>
      <c r="CC227" s="12"/>
      <c r="CD227" s="12"/>
      <c r="CE227" s="12"/>
      <c r="CF227" s="12"/>
      <c r="CG227" s="12"/>
      <c r="CH227" s="12"/>
      <c r="CI227" s="12"/>
      <c r="CJ227" s="12"/>
      <c r="CK227" s="12"/>
      <c r="CL227" s="12"/>
      <c r="CM227" s="12"/>
      <c r="CN227" s="12"/>
      <c r="CO227" s="12"/>
      <c r="CP227" s="12"/>
      <c r="CQ227" s="12"/>
      <c r="CR227" s="12"/>
      <c r="CS227" s="12"/>
      <c r="CT227" s="12"/>
      <c r="CU227" s="12"/>
      <c r="CV227" s="12"/>
      <c r="CW227" s="12"/>
      <c r="CX227" s="12"/>
      <c r="CY227" s="12"/>
      <c r="CZ227" s="12"/>
      <c r="DA227" s="12"/>
      <c r="DB227" s="12"/>
      <c r="DC227" s="12"/>
      <c r="DD227" s="12"/>
      <c r="DE227" s="12"/>
      <c r="DF227" s="12"/>
      <c r="DG227" s="12"/>
      <c r="DH227" s="12"/>
      <c r="DI227" s="12"/>
      <c r="DJ227" s="12"/>
      <c r="DK227" s="12"/>
      <c r="DL227" s="12"/>
      <c r="DM227" s="12"/>
      <c r="DN227" s="12"/>
      <c r="DO227" s="12"/>
      <c r="DP227" s="12"/>
      <c r="DQ227" s="12"/>
      <c r="DR227" s="12"/>
      <c r="DS227" s="12"/>
      <c r="DT227" s="12"/>
      <c r="DU227" s="12"/>
      <c r="DV227" s="12"/>
      <c r="DW227" s="12"/>
      <c r="DX227" s="12"/>
      <c r="DY227" s="12"/>
      <c r="DZ227" s="12"/>
      <c r="EA227" s="12"/>
      <c r="EB227" s="12"/>
      <c r="EC227" s="12"/>
      <c r="ED227" s="12"/>
      <c r="EE227" s="12"/>
      <c r="EF227" s="12"/>
      <c r="EG227" s="12"/>
      <c r="EH227" s="12"/>
      <c r="EI227" s="12"/>
      <c r="EJ227" s="12"/>
      <c r="EK227" s="12"/>
      <c r="EL227" s="12"/>
      <c r="EM227" s="12"/>
      <c r="EN227" s="12"/>
      <c r="EO227" s="12"/>
      <c r="EP227" s="12"/>
      <c r="EQ227" s="12"/>
      <c r="ER227" s="12"/>
      <c r="ES227" s="12"/>
      <c r="ET227" s="12"/>
      <c r="EU227" s="12"/>
      <c r="EV227" s="12"/>
      <c r="EW227" s="12"/>
      <c r="EX227" s="12"/>
      <c r="EY227" s="12"/>
      <c r="EZ227" s="12"/>
      <c r="FA227" s="12"/>
      <c r="FB227" s="12"/>
      <c r="FC227" s="12"/>
      <c r="FD227" s="12"/>
      <c r="FE227" s="12"/>
      <c r="FF227" s="12"/>
      <c r="FG227" s="12"/>
      <c r="FH227" s="12"/>
      <c r="FI227" s="12"/>
      <c r="FJ227" s="12"/>
      <c r="FK227" s="12"/>
      <c r="FL227" s="12"/>
      <c r="FM227" s="12"/>
      <c r="FN227" s="12"/>
      <c r="FO227" s="12"/>
      <c r="FP227" s="12"/>
      <c r="FQ227" s="12"/>
      <c r="FR227" s="12"/>
      <c r="FS227" s="12"/>
      <c r="FT227" s="12"/>
      <c r="FU227" s="12"/>
      <c r="FV227" s="12"/>
      <c r="FW227" s="12"/>
      <c r="FX227" s="12"/>
      <c r="FY227" s="12"/>
      <c r="FZ227" s="12"/>
      <c r="GA227" s="12"/>
      <c r="GB227" s="12"/>
      <c r="GC227" s="12"/>
      <c r="GD227" s="12"/>
      <c r="GE227" s="12"/>
      <c r="GF227" s="12"/>
      <c r="GG227" s="12"/>
      <c r="GH227" s="12"/>
      <c r="GI227" s="12"/>
      <c r="GJ227" s="12"/>
      <c r="GK227" s="12"/>
      <c r="GL227" s="12"/>
      <c r="GM227" s="12"/>
      <c r="GN227" s="12"/>
      <c r="GO227" s="12"/>
      <c r="GP227" s="12"/>
      <c r="GQ227" s="12"/>
      <c r="GR227" s="12"/>
      <c r="GS227" s="12"/>
      <c r="GT227" s="12"/>
      <c r="GU227" s="12"/>
      <c r="GV227" s="12"/>
      <c r="GW227" s="12"/>
      <c r="GX227" s="12"/>
      <c r="GY227" s="12"/>
      <c r="GZ227" s="12"/>
      <c r="HA227" s="12"/>
      <c r="HB227" s="12"/>
      <c r="HC227" s="12"/>
      <c r="HD227" s="12"/>
      <c r="HE227" s="12"/>
      <c r="HF227" s="12"/>
      <c r="HG227" s="12"/>
      <c r="HH227" s="12"/>
      <c r="HI227" s="12"/>
      <c r="HJ227" s="12"/>
      <c r="HK227" s="12"/>
      <c r="HL227" s="12"/>
      <c r="HM227" s="12"/>
      <c r="HN227" s="12"/>
      <c r="HO227" s="12"/>
      <c r="HP227" s="12"/>
      <c r="HQ227" s="12"/>
      <c r="HR227" s="12"/>
      <c r="HS227" s="12"/>
      <c r="HT227" s="12"/>
      <c r="HU227" s="12"/>
      <c r="HV227" s="12"/>
      <c r="HW227" s="12"/>
    </row>
    <row r="228" spans="1:231" ht="47.25">
      <c r="A228" s="10">
        <v>13</v>
      </c>
      <c r="B228" s="25" t="s">
        <v>507</v>
      </c>
      <c r="C228" s="428" t="s">
        <v>10</v>
      </c>
      <c r="D228" s="429">
        <v>2017</v>
      </c>
      <c r="E228" s="429">
        <v>2019</v>
      </c>
      <c r="F228" s="312" t="s">
        <v>508</v>
      </c>
      <c r="G228" s="403">
        <v>12178</v>
      </c>
      <c r="H228" s="403">
        <v>8873</v>
      </c>
      <c r="I228" s="403">
        <v>1000</v>
      </c>
      <c r="J228" s="403">
        <v>1000</v>
      </c>
      <c r="K228" s="403">
        <v>3493</v>
      </c>
      <c r="L228" s="424" t="s">
        <v>880</v>
      </c>
      <c r="M228" s="73"/>
      <c r="N228" s="404"/>
      <c r="P228" s="172">
        <f t="shared" si="21"/>
        <v>4493</v>
      </c>
      <c r="Q228" s="172">
        <f t="shared" si="22"/>
        <v>4493</v>
      </c>
    </row>
    <row r="229" spans="1:231" ht="31.5">
      <c r="A229" s="10">
        <v>14</v>
      </c>
      <c r="B229" s="26" t="s">
        <v>509</v>
      </c>
      <c r="C229" s="218" t="s">
        <v>10</v>
      </c>
      <c r="D229" s="415">
        <v>2017</v>
      </c>
      <c r="E229" s="415">
        <v>2019</v>
      </c>
      <c r="F229" s="312" t="s">
        <v>510</v>
      </c>
      <c r="G229" s="403">
        <v>8920</v>
      </c>
      <c r="H229" s="314">
        <f>G229</f>
        <v>8920</v>
      </c>
      <c r="I229" s="403">
        <v>1000</v>
      </c>
      <c r="J229" s="403">
        <v>1000</v>
      </c>
      <c r="K229" s="403">
        <v>3514</v>
      </c>
      <c r="L229" s="424" t="s">
        <v>987</v>
      </c>
      <c r="M229" s="73"/>
      <c r="N229" s="404"/>
      <c r="P229" s="172">
        <f t="shared" si="21"/>
        <v>4514</v>
      </c>
      <c r="Q229" s="172">
        <f t="shared" si="22"/>
        <v>4514</v>
      </c>
    </row>
    <row r="230" spans="1:231" ht="31.5">
      <c r="A230" s="10">
        <v>15</v>
      </c>
      <c r="B230" s="26" t="s">
        <v>128</v>
      </c>
      <c r="C230" s="218" t="s">
        <v>49</v>
      </c>
      <c r="D230" s="415">
        <v>2017</v>
      </c>
      <c r="E230" s="415">
        <v>2019</v>
      </c>
      <c r="F230" s="312" t="s">
        <v>129</v>
      </c>
      <c r="G230" s="403">
        <v>8675</v>
      </c>
      <c r="H230" s="314">
        <f>G230</f>
        <v>8675</v>
      </c>
      <c r="I230" s="403">
        <v>437</v>
      </c>
      <c r="J230" s="403">
        <f>I230</f>
        <v>437</v>
      </c>
      <c r="K230" s="403">
        <v>3685</v>
      </c>
      <c r="L230" s="424" t="s">
        <v>972</v>
      </c>
      <c r="M230" s="73"/>
      <c r="N230" s="404"/>
      <c r="P230" s="172">
        <f t="shared" si="21"/>
        <v>4122</v>
      </c>
      <c r="Q230" s="172">
        <f t="shared" si="22"/>
        <v>4122</v>
      </c>
    </row>
    <row r="231" spans="1:231" s="416" customFormat="1" ht="31.5">
      <c r="A231" s="10">
        <v>16</v>
      </c>
      <c r="B231" s="25" t="s">
        <v>1002</v>
      </c>
      <c r="C231" s="426" t="s">
        <v>511</v>
      </c>
      <c r="D231" s="430">
        <v>2017</v>
      </c>
      <c r="E231" s="431">
        <v>2019</v>
      </c>
      <c r="F231" s="312" t="s">
        <v>512</v>
      </c>
      <c r="G231" s="403">
        <v>14914</v>
      </c>
      <c r="H231" s="403">
        <v>11380</v>
      </c>
      <c r="I231" s="403">
        <v>1000</v>
      </c>
      <c r="J231" s="403">
        <v>1000</v>
      </c>
      <c r="K231" s="403">
        <v>4621</v>
      </c>
      <c r="L231" s="432" t="s">
        <v>934</v>
      </c>
      <c r="M231" s="433"/>
      <c r="N231" s="404"/>
      <c r="P231" s="172">
        <f t="shared" si="21"/>
        <v>5621</v>
      </c>
      <c r="Q231" s="172">
        <f t="shared" si="22"/>
        <v>5621</v>
      </c>
    </row>
    <row r="232" spans="1:231" s="416" customFormat="1" ht="15.75">
      <c r="A232" s="175" t="s">
        <v>1003</v>
      </c>
      <c r="B232" s="377" t="s">
        <v>701</v>
      </c>
      <c r="C232" s="426"/>
      <c r="D232" s="430"/>
      <c r="E232" s="431"/>
      <c r="F232" s="312"/>
      <c r="G232" s="403"/>
      <c r="H232" s="403"/>
      <c r="I232" s="403"/>
      <c r="J232" s="403"/>
      <c r="K232" s="403"/>
      <c r="L232" s="432"/>
      <c r="M232" s="433"/>
      <c r="N232" s="404"/>
      <c r="P232" s="172">
        <f t="shared" si="21"/>
        <v>0</v>
      </c>
      <c r="Q232" s="172">
        <f t="shared" si="22"/>
        <v>0</v>
      </c>
    </row>
    <row r="233" spans="1:231" s="12" customFormat="1" ht="31.5">
      <c r="A233" s="10">
        <v>1</v>
      </c>
      <c r="B233" s="391" t="s">
        <v>115</v>
      </c>
      <c r="C233" s="270" t="s">
        <v>17</v>
      </c>
      <c r="D233" s="170">
        <v>2015</v>
      </c>
      <c r="E233" s="170">
        <v>2020</v>
      </c>
      <c r="F233" s="159" t="s">
        <v>116</v>
      </c>
      <c r="G233" s="288">
        <v>53939</v>
      </c>
      <c r="H233" s="288">
        <v>13046</v>
      </c>
      <c r="I233" s="288">
        <v>10500</v>
      </c>
      <c r="J233" s="288">
        <v>4500</v>
      </c>
      <c r="K233" s="288">
        <v>1500</v>
      </c>
      <c r="L233" s="36" t="s">
        <v>1004</v>
      </c>
      <c r="M233" s="221"/>
      <c r="P233" s="172">
        <f t="shared" si="21"/>
        <v>12000</v>
      </c>
      <c r="Q233" s="172">
        <f t="shared" si="22"/>
        <v>6000</v>
      </c>
    </row>
    <row r="234" spans="1:231" s="222" customFormat="1" ht="31.5">
      <c r="A234" s="10">
        <v>2</v>
      </c>
      <c r="B234" s="62" t="s">
        <v>149</v>
      </c>
      <c r="C234" s="4" t="s">
        <v>9</v>
      </c>
      <c r="D234" s="3">
        <v>2016</v>
      </c>
      <c r="E234" s="3">
        <v>2020</v>
      </c>
      <c r="F234" s="434"/>
      <c r="G234" s="359">
        <v>5305</v>
      </c>
      <c r="H234" s="359">
        <v>5305</v>
      </c>
      <c r="I234" s="359">
        <v>2000</v>
      </c>
      <c r="J234" s="359">
        <f>I234</f>
        <v>2000</v>
      </c>
      <c r="K234" s="435">
        <f>1388+1387</f>
        <v>2775</v>
      </c>
      <c r="L234" s="413" t="s">
        <v>958</v>
      </c>
      <c r="M234" s="107" t="s">
        <v>1005</v>
      </c>
      <c r="N234" s="289"/>
      <c r="O234" s="289"/>
      <c r="P234" s="172">
        <f t="shared" si="21"/>
        <v>4775</v>
      </c>
      <c r="Q234" s="172">
        <f t="shared" si="22"/>
        <v>4775</v>
      </c>
      <c r="R234" s="289"/>
      <c r="S234" s="289"/>
      <c r="T234" s="289"/>
      <c r="U234" s="289"/>
      <c r="V234" s="289"/>
      <c r="W234" s="289"/>
      <c r="X234" s="289"/>
      <c r="Y234" s="289"/>
      <c r="Z234" s="289"/>
      <c r="AA234" s="289"/>
      <c r="AB234" s="289"/>
      <c r="AC234" s="289"/>
      <c r="AD234" s="289"/>
      <c r="AE234" s="289"/>
      <c r="AF234" s="289"/>
      <c r="AG234" s="289"/>
      <c r="AH234" s="289"/>
      <c r="AI234" s="289"/>
      <c r="AJ234" s="289"/>
      <c r="AK234" s="289"/>
      <c r="AL234" s="289"/>
      <c r="AM234" s="289"/>
      <c r="AN234" s="289"/>
      <c r="AO234" s="289"/>
      <c r="AP234" s="289"/>
      <c r="AQ234" s="289"/>
      <c r="AR234" s="289"/>
      <c r="AS234" s="289"/>
      <c r="AT234" s="289"/>
      <c r="AU234" s="289"/>
      <c r="AV234" s="289"/>
      <c r="AW234" s="289"/>
      <c r="AX234" s="289"/>
      <c r="AY234" s="289"/>
      <c r="AZ234" s="289"/>
      <c r="BA234" s="289"/>
      <c r="BB234" s="289"/>
      <c r="BC234" s="289"/>
      <c r="BD234" s="289"/>
      <c r="BE234" s="289"/>
      <c r="BF234" s="289"/>
      <c r="BG234" s="289"/>
      <c r="BH234" s="289"/>
      <c r="BI234" s="289"/>
      <c r="BJ234" s="289"/>
      <c r="BK234" s="289"/>
      <c r="BL234" s="289"/>
      <c r="BM234" s="289"/>
      <c r="BN234" s="289"/>
      <c r="BO234" s="289"/>
      <c r="BP234" s="289"/>
      <c r="BQ234" s="289"/>
      <c r="BR234" s="289"/>
      <c r="BS234" s="289"/>
      <c r="BT234" s="289"/>
      <c r="BU234" s="289"/>
      <c r="BV234" s="289"/>
      <c r="BW234" s="289"/>
      <c r="BX234" s="289"/>
      <c r="BY234" s="289"/>
      <c r="BZ234" s="289"/>
      <c r="CA234" s="289"/>
      <c r="CB234" s="289"/>
      <c r="CC234" s="289"/>
      <c r="CD234" s="289"/>
      <c r="CE234" s="289"/>
      <c r="CF234" s="289"/>
      <c r="CG234" s="289"/>
      <c r="CH234" s="289"/>
      <c r="CI234" s="289"/>
      <c r="CJ234" s="289"/>
      <c r="CK234" s="289"/>
      <c r="CL234" s="289"/>
      <c r="CM234" s="289"/>
      <c r="CN234" s="289"/>
      <c r="CO234" s="289"/>
      <c r="CP234" s="289"/>
      <c r="CQ234" s="289"/>
      <c r="CR234" s="289"/>
      <c r="CS234" s="289"/>
      <c r="CT234" s="289"/>
      <c r="CU234" s="289"/>
      <c r="CV234" s="289"/>
      <c r="CW234" s="289"/>
      <c r="CX234" s="289"/>
      <c r="CY234" s="289"/>
      <c r="CZ234" s="289"/>
      <c r="DA234" s="289"/>
      <c r="DB234" s="289"/>
      <c r="DC234" s="289"/>
      <c r="DD234" s="289"/>
      <c r="DE234" s="289"/>
      <c r="DF234" s="289"/>
      <c r="DG234" s="289"/>
      <c r="DH234" s="289"/>
      <c r="DI234" s="289"/>
      <c r="DJ234" s="289"/>
      <c r="DK234" s="289"/>
      <c r="DL234" s="289"/>
      <c r="DM234" s="289"/>
      <c r="DN234" s="289"/>
      <c r="DO234" s="289"/>
      <c r="DP234" s="289"/>
      <c r="DQ234" s="289"/>
      <c r="DR234" s="289"/>
      <c r="DS234" s="289"/>
      <c r="DT234" s="289"/>
      <c r="DU234" s="289"/>
      <c r="DV234" s="289"/>
      <c r="DW234" s="289"/>
      <c r="DX234" s="289"/>
      <c r="DY234" s="289"/>
      <c r="DZ234" s="289"/>
      <c r="EA234" s="289"/>
      <c r="EB234" s="289"/>
      <c r="EC234" s="289"/>
      <c r="ED234" s="289"/>
      <c r="EE234" s="289"/>
      <c r="EF234" s="289"/>
      <c r="EG234" s="289"/>
      <c r="EH234" s="289"/>
      <c r="EI234" s="289"/>
      <c r="EJ234" s="289"/>
      <c r="EK234" s="289"/>
      <c r="EL234" s="289"/>
      <c r="EM234" s="289"/>
      <c r="EN234" s="289"/>
      <c r="EO234" s="289"/>
      <c r="EP234" s="289"/>
      <c r="EQ234" s="289"/>
      <c r="ER234" s="289"/>
      <c r="ES234" s="289"/>
      <c r="ET234" s="289"/>
      <c r="EU234" s="289"/>
      <c r="EV234" s="289"/>
      <c r="EW234" s="289"/>
      <c r="EX234" s="289"/>
      <c r="EY234" s="289"/>
      <c r="EZ234" s="289"/>
      <c r="FA234" s="289"/>
      <c r="FB234" s="289"/>
      <c r="FC234" s="289"/>
      <c r="FD234" s="289"/>
      <c r="FE234" s="289"/>
      <c r="FF234" s="289"/>
      <c r="FG234" s="289"/>
      <c r="FH234" s="289"/>
      <c r="FI234" s="289"/>
      <c r="FJ234" s="289"/>
      <c r="FK234" s="289"/>
      <c r="FL234" s="289"/>
      <c r="FM234" s="289"/>
      <c r="FN234" s="289"/>
      <c r="FO234" s="289"/>
      <c r="FP234" s="289"/>
      <c r="FQ234" s="289"/>
      <c r="FR234" s="289"/>
      <c r="FS234" s="289"/>
      <c r="FT234" s="289"/>
      <c r="FU234" s="289"/>
      <c r="FV234" s="289"/>
      <c r="FW234" s="289"/>
      <c r="FX234" s="289"/>
      <c r="FY234" s="289"/>
      <c r="FZ234" s="289"/>
      <c r="GA234" s="289"/>
      <c r="GB234" s="289"/>
      <c r="GC234" s="289"/>
      <c r="GD234" s="289"/>
      <c r="GE234" s="289"/>
      <c r="GF234" s="289"/>
      <c r="GG234" s="289"/>
      <c r="GH234" s="289"/>
      <c r="GI234" s="289"/>
      <c r="GJ234" s="289"/>
      <c r="GK234" s="289"/>
      <c r="GL234" s="289"/>
      <c r="GM234" s="289"/>
      <c r="GN234" s="289"/>
      <c r="GO234" s="289"/>
      <c r="GP234" s="289"/>
      <c r="GQ234" s="289"/>
      <c r="GR234" s="289"/>
      <c r="GS234" s="289"/>
      <c r="GT234" s="289"/>
      <c r="GU234" s="289"/>
      <c r="GV234" s="289"/>
      <c r="GW234" s="289"/>
      <c r="GX234" s="289"/>
      <c r="GY234" s="289"/>
      <c r="GZ234" s="289"/>
      <c r="HA234" s="289"/>
      <c r="HB234" s="289"/>
      <c r="HC234" s="289"/>
      <c r="HD234" s="289"/>
      <c r="HE234" s="289"/>
      <c r="HF234" s="289"/>
      <c r="HG234" s="289"/>
      <c r="HH234" s="289"/>
      <c r="HI234" s="289"/>
      <c r="HJ234" s="289"/>
      <c r="HK234" s="289"/>
      <c r="HL234" s="289"/>
      <c r="HM234" s="289"/>
      <c r="HN234" s="289"/>
      <c r="HO234" s="289"/>
      <c r="HP234" s="289"/>
      <c r="HQ234" s="289"/>
      <c r="HR234" s="289"/>
      <c r="HS234" s="289"/>
      <c r="HT234" s="289"/>
      <c r="HU234" s="289"/>
      <c r="HV234" s="289"/>
      <c r="HW234" s="289"/>
    </row>
    <row r="235" spans="1:231" s="12" customFormat="1" ht="47.25">
      <c r="A235" s="10">
        <v>3</v>
      </c>
      <c r="B235" s="255" t="s">
        <v>1006</v>
      </c>
      <c r="C235" s="4" t="s">
        <v>9</v>
      </c>
      <c r="D235" s="170">
        <v>2014</v>
      </c>
      <c r="E235" s="170">
        <v>2018</v>
      </c>
      <c r="F235" s="392" t="s">
        <v>1007</v>
      </c>
      <c r="G235" s="288">
        <v>62989</v>
      </c>
      <c r="H235" s="288">
        <f>G235</f>
        <v>62989</v>
      </c>
      <c r="I235" s="288">
        <f>27187+4500+11982</f>
        <v>43669</v>
      </c>
      <c r="J235" s="288">
        <f>I235</f>
        <v>43669</v>
      </c>
      <c r="K235" s="288">
        <v>7250</v>
      </c>
      <c r="L235" s="36" t="s">
        <v>591</v>
      </c>
      <c r="M235" s="221"/>
      <c r="N235" s="305" t="s">
        <v>1008</v>
      </c>
      <c r="P235" s="172">
        <f t="shared" si="21"/>
        <v>50919</v>
      </c>
      <c r="Q235" s="172">
        <f t="shared" si="22"/>
        <v>50919</v>
      </c>
    </row>
    <row r="236" spans="1:231" s="440" customFormat="1" ht="15.75">
      <c r="A236" s="111" t="s">
        <v>564</v>
      </c>
      <c r="B236" s="76" t="s">
        <v>1009</v>
      </c>
      <c r="C236" s="436"/>
      <c r="D236" s="437"/>
      <c r="E236" s="438"/>
      <c r="F236" s="436"/>
      <c r="G236" s="104">
        <f>SUBTOTAL(109,G238:G254)</f>
        <v>144855</v>
      </c>
      <c r="H236" s="104">
        <f>SUBTOTAL(109,H238:H254)</f>
        <v>126485</v>
      </c>
      <c r="I236" s="104">
        <f>SUBTOTAL(109,I238:I254)</f>
        <v>360</v>
      </c>
      <c r="J236" s="104">
        <f>SUBTOTAL(109,J238:J254)</f>
        <v>360</v>
      </c>
      <c r="K236" s="104">
        <f>SUBTOTAL(109,K238:K254)</f>
        <v>38987</v>
      </c>
      <c r="L236" s="439"/>
      <c r="M236" s="153"/>
      <c r="P236" s="172">
        <f t="shared" si="21"/>
        <v>39347</v>
      </c>
      <c r="Q236" s="172">
        <f t="shared" si="22"/>
        <v>39347</v>
      </c>
    </row>
    <row r="237" spans="1:231" s="440" customFormat="1" ht="15.75">
      <c r="A237" s="175" t="s">
        <v>821</v>
      </c>
      <c r="B237" s="377" t="s">
        <v>700</v>
      </c>
      <c r="C237" s="436"/>
      <c r="D237" s="437"/>
      <c r="E237" s="438"/>
      <c r="F237" s="436"/>
      <c r="G237" s="104"/>
      <c r="H237" s="104"/>
      <c r="I237" s="104"/>
      <c r="J237" s="104"/>
      <c r="K237" s="104"/>
      <c r="L237" s="439"/>
      <c r="M237" s="153"/>
      <c r="P237" s="172">
        <f t="shared" si="21"/>
        <v>0</v>
      </c>
      <c r="Q237" s="172">
        <f t="shared" si="22"/>
        <v>0</v>
      </c>
    </row>
    <row r="238" spans="1:231" s="440" customFormat="1" ht="31.5">
      <c r="A238" s="10">
        <v>1</v>
      </c>
      <c r="B238" s="24" t="s">
        <v>1010</v>
      </c>
      <c r="C238" s="22" t="s">
        <v>49</v>
      </c>
      <c r="D238" s="415">
        <v>2018</v>
      </c>
      <c r="E238" s="415">
        <v>2019</v>
      </c>
      <c r="F238" s="312" t="s">
        <v>1011</v>
      </c>
      <c r="G238" s="313">
        <v>3000</v>
      </c>
      <c r="H238" s="313">
        <v>3000</v>
      </c>
      <c r="I238" s="313">
        <v>0</v>
      </c>
      <c r="J238" s="313">
        <v>0</v>
      </c>
      <c r="K238" s="441">
        <f>1500</f>
        <v>1500</v>
      </c>
      <c r="L238" s="432" t="s">
        <v>985</v>
      </c>
      <c r="M238" s="107" t="s">
        <v>1012</v>
      </c>
      <c r="P238" s="172">
        <f t="shared" si="21"/>
        <v>1500</v>
      </c>
      <c r="Q238" s="172">
        <f t="shared" si="22"/>
        <v>1500</v>
      </c>
    </row>
    <row r="239" spans="1:231" s="440" customFormat="1" ht="31.5">
      <c r="A239" s="10">
        <v>2</v>
      </c>
      <c r="B239" s="24" t="s">
        <v>1013</v>
      </c>
      <c r="C239" s="22" t="s">
        <v>9</v>
      </c>
      <c r="D239" s="415">
        <v>2018</v>
      </c>
      <c r="E239" s="415">
        <v>2019</v>
      </c>
      <c r="F239" s="312" t="s">
        <v>772</v>
      </c>
      <c r="G239" s="313">
        <v>3700</v>
      </c>
      <c r="H239" s="313">
        <v>3700</v>
      </c>
      <c r="I239" s="313">
        <v>0</v>
      </c>
      <c r="J239" s="313">
        <v>0</v>
      </c>
      <c r="K239" s="441">
        <f>1850</f>
        <v>1850</v>
      </c>
      <c r="L239" s="424" t="s">
        <v>1014</v>
      </c>
      <c r="M239" s="107" t="s">
        <v>1015</v>
      </c>
      <c r="P239" s="172">
        <f t="shared" si="21"/>
        <v>1850</v>
      </c>
      <c r="Q239" s="172">
        <f t="shared" si="22"/>
        <v>1850</v>
      </c>
    </row>
    <row r="240" spans="1:231" s="440" customFormat="1" ht="63">
      <c r="A240" s="10">
        <v>3</v>
      </c>
      <c r="B240" s="24" t="s">
        <v>580</v>
      </c>
      <c r="C240" s="22" t="s">
        <v>542</v>
      </c>
      <c r="D240" s="415">
        <v>2018</v>
      </c>
      <c r="E240" s="415">
        <v>2019</v>
      </c>
      <c r="F240" s="312" t="s">
        <v>1016</v>
      </c>
      <c r="G240" s="313">
        <v>4171</v>
      </c>
      <c r="H240" s="313">
        <v>4171</v>
      </c>
      <c r="I240" s="313">
        <v>0</v>
      </c>
      <c r="J240" s="313">
        <v>0</v>
      </c>
      <c r="K240" s="441">
        <f>2086</f>
        <v>2086</v>
      </c>
      <c r="L240" s="22" t="s">
        <v>1017</v>
      </c>
      <c r="M240" s="107" t="s">
        <v>1018</v>
      </c>
      <c r="N240" s="440">
        <v>1800</v>
      </c>
      <c r="P240" s="172">
        <f t="shared" si="21"/>
        <v>2086</v>
      </c>
      <c r="Q240" s="172">
        <f t="shared" si="22"/>
        <v>2086</v>
      </c>
    </row>
    <row r="241" spans="1:231" s="440" customFormat="1" ht="31.5">
      <c r="A241" s="10">
        <v>4</v>
      </c>
      <c r="B241" s="24" t="s">
        <v>703</v>
      </c>
      <c r="C241" s="22" t="s">
        <v>9</v>
      </c>
      <c r="D241" s="415">
        <v>2018</v>
      </c>
      <c r="E241" s="415">
        <v>2019</v>
      </c>
      <c r="F241" s="312" t="s">
        <v>1019</v>
      </c>
      <c r="G241" s="313">
        <v>5500</v>
      </c>
      <c r="H241" s="313">
        <v>3500</v>
      </c>
      <c r="I241" s="313">
        <v>0</v>
      </c>
      <c r="J241" s="313">
        <v>0</v>
      </c>
      <c r="K241" s="441">
        <f>1750</f>
        <v>1750</v>
      </c>
      <c r="L241" s="424" t="s">
        <v>1020</v>
      </c>
      <c r="M241" s="107" t="s">
        <v>1021</v>
      </c>
      <c r="P241" s="172">
        <f t="shared" si="21"/>
        <v>1750</v>
      </c>
      <c r="Q241" s="172">
        <f t="shared" si="22"/>
        <v>1750</v>
      </c>
    </row>
    <row r="242" spans="1:231" s="440" customFormat="1" ht="15.75">
      <c r="A242" s="175" t="s">
        <v>472</v>
      </c>
      <c r="B242" s="442" t="s">
        <v>701</v>
      </c>
      <c r="C242" s="22"/>
      <c r="D242" s="443"/>
      <c r="E242" s="444"/>
      <c r="F242" s="312"/>
      <c r="G242" s="313"/>
      <c r="H242" s="313"/>
      <c r="I242" s="313"/>
      <c r="J242" s="313"/>
      <c r="K242" s="313"/>
      <c r="L242" s="424"/>
      <c r="M242" s="73"/>
      <c r="P242" s="172">
        <f t="shared" si="21"/>
        <v>0</v>
      </c>
      <c r="Q242" s="172">
        <f t="shared" si="22"/>
        <v>0</v>
      </c>
    </row>
    <row r="243" spans="1:231" ht="47.25">
      <c r="A243" s="10">
        <v>1</v>
      </c>
      <c r="B243" s="24" t="s">
        <v>578</v>
      </c>
      <c r="C243" s="22" t="s">
        <v>49</v>
      </c>
      <c r="D243" s="415">
        <v>2018</v>
      </c>
      <c r="E243" s="415">
        <v>2020</v>
      </c>
      <c r="F243" s="312" t="s">
        <v>1022</v>
      </c>
      <c r="G243" s="313">
        <v>5000</v>
      </c>
      <c r="H243" s="313">
        <v>3600</v>
      </c>
      <c r="I243" s="313">
        <v>0</v>
      </c>
      <c r="J243" s="313">
        <v>0</v>
      </c>
      <c r="K243" s="313">
        <v>972</v>
      </c>
      <c r="L243" s="22" t="s">
        <v>972</v>
      </c>
      <c r="M243" s="107"/>
      <c r="P243" s="172">
        <f t="shared" si="21"/>
        <v>972</v>
      </c>
      <c r="Q243" s="172">
        <f t="shared" si="22"/>
        <v>972</v>
      </c>
    </row>
    <row r="244" spans="1:231" ht="31.5">
      <c r="A244" s="10">
        <v>2</v>
      </c>
      <c r="B244" s="24" t="s">
        <v>527</v>
      </c>
      <c r="C244" s="22" t="s">
        <v>10</v>
      </c>
      <c r="D244" s="415">
        <v>2018</v>
      </c>
      <c r="E244" s="415">
        <v>2020</v>
      </c>
      <c r="F244" s="312" t="s">
        <v>1023</v>
      </c>
      <c r="G244" s="313">
        <v>5000</v>
      </c>
      <c r="H244" s="313">
        <v>3624</v>
      </c>
      <c r="I244" s="313">
        <v>0</v>
      </c>
      <c r="J244" s="313">
        <v>0</v>
      </c>
      <c r="K244" s="313">
        <v>1117</v>
      </c>
      <c r="L244" s="22" t="s">
        <v>880</v>
      </c>
      <c r="M244" s="107"/>
      <c r="P244" s="172">
        <f t="shared" si="21"/>
        <v>1117</v>
      </c>
      <c r="Q244" s="172">
        <f t="shared" si="22"/>
        <v>1117</v>
      </c>
    </row>
    <row r="245" spans="1:231" ht="31.5">
      <c r="A245" s="10">
        <v>3</v>
      </c>
      <c r="B245" s="24" t="s">
        <v>687</v>
      </c>
      <c r="C245" s="22" t="s">
        <v>17</v>
      </c>
      <c r="D245" s="415">
        <v>2018</v>
      </c>
      <c r="E245" s="415">
        <v>2020</v>
      </c>
      <c r="F245" s="312" t="s">
        <v>1024</v>
      </c>
      <c r="G245" s="313">
        <v>5000</v>
      </c>
      <c r="H245" s="313">
        <v>5000</v>
      </c>
      <c r="I245" s="313">
        <v>0</v>
      </c>
      <c r="J245" s="313">
        <v>0</v>
      </c>
      <c r="K245" s="313">
        <v>1500</v>
      </c>
      <c r="L245" s="22" t="s">
        <v>1025</v>
      </c>
      <c r="M245" s="107"/>
      <c r="P245" s="172">
        <f t="shared" si="21"/>
        <v>1500</v>
      </c>
      <c r="Q245" s="172">
        <f t="shared" si="22"/>
        <v>1500</v>
      </c>
    </row>
    <row r="246" spans="1:231" ht="31.5">
      <c r="A246" s="10">
        <v>4</v>
      </c>
      <c r="B246" s="24" t="s">
        <v>513</v>
      </c>
      <c r="C246" s="22" t="s">
        <v>49</v>
      </c>
      <c r="D246" s="415">
        <v>2018</v>
      </c>
      <c r="E246" s="415">
        <v>2020</v>
      </c>
      <c r="F246" s="312" t="s">
        <v>631</v>
      </c>
      <c r="G246" s="313">
        <v>11993</v>
      </c>
      <c r="H246" s="313">
        <v>5899</v>
      </c>
      <c r="I246" s="313">
        <v>60</v>
      </c>
      <c r="J246" s="313">
        <v>60</v>
      </c>
      <c r="K246" s="313">
        <v>1593</v>
      </c>
      <c r="L246" s="22" t="s">
        <v>972</v>
      </c>
      <c r="M246" s="107"/>
      <c r="P246" s="172">
        <f t="shared" si="21"/>
        <v>1653</v>
      </c>
      <c r="Q246" s="172">
        <f t="shared" si="22"/>
        <v>1653</v>
      </c>
    </row>
    <row r="247" spans="1:231" ht="31.5">
      <c r="A247" s="10">
        <v>5</v>
      </c>
      <c r="B247" s="24" t="s">
        <v>1026</v>
      </c>
      <c r="C247" s="22" t="s">
        <v>17</v>
      </c>
      <c r="D247" s="415">
        <v>2018</v>
      </c>
      <c r="E247" s="415">
        <v>2020</v>
      </c>
      <c r="F247" s="312" t="s">
        <v>1027</v>
      </c>
      <c r="G247" s="313">
        <v>6000</v>
      </c>
      <c r="H247" s="313">
        <v>6000</v>
      </c>
      <c r="I247" s="313">
        <v>0</v>
      </c>
      <c r="J247" s="313">
        <v>0</v>
      </c>
      <c r="K247" s="313">
        <v>1800</v>
      </c>
      <c r="L247" s="22" t="s">
        <v>588</v>
      </c>
      <c r="M247" s="107"/>
      <c r="P247" s="172">
        <f t="shared" si="21"/>
        <v>1800</v>
      </c>
      <c r="Q247" s="172">
        <f t="shared" si="22"/>
        <v>1800</v>
      </c>
    </row>
    <row r="248" spans="1:231" ht="25.5">
      <c r="A248" s="10">
        <v>6</v>
      </c>
      <c r="B248" s="24" t="s">
        <v>514</v>
      </c>
      <c r="C248" s="22" t="s">
        <v>46</v>
      </c>
      <c r="D248" s="415">
        <v>2018</v>
      </c>
      <c r="E248" s="415">
        <v>2020</v>
      </c>
      <c r="F248" s="312" t="s">
        <v>744</v>
      </c>
      <c r="G248" s="313">
        <v>15000</v>
      </c>
      <c r="H248" s="313">
        <v>7500</v>
      </c>
      <c r="I248" s="313">
        <v>60</v>
      </c>
      <c r="J248" s="313">
        <v>60</v>
      </c>
      <c r="K248" s="313">
        <v>2025</v>
      </c>
      <c r="L248" s="22" t="s">
        <v>1028</v>
      </c>
      <c r="M248" s="107"/>
      <c r="P248" s="172">
        <f t="shared" si="21"/>
        <v>2085</v>
      </c>
      <c r="Q248" s="172">
        <f t="shared" si="22"/>
        <v>2085</v>
      </c>
    </row>
    <row r="249" spans="1:231" ht="31.5">
      <c r="A249" s="10">
        <v>7</v>
      </c>
      <c r="B249" s="24" t="s">
        <v>515</v>
      </c>
      <c r="C249" s="22" t="s">
        <v>17</v>
      </c>
      <c r="D249" s="415">
        <v>2018</v>
      </c>
      <c r="E249" s="415">
        <v>2020</v>
      </c>
      <c r="F249" s="312" t="s">
        <v>1029</v>
      </c>
      <c r="G249" s="313">
        <v>9500</v>
      </c>
      <c r="H249" s="313">
        <v>9500</v>
      </c>
      <c r="I249" s="313">
        <v>60</v>
      </c>
      <c r="J249" s="313">
        <v>60</v>
      </c>
      <c r="K249" s="313">
        <v>2565</v>
      </c>
      <c r="L249" s="22" t="s">
        <v>588</v>
      </c>
      <c r="M249" s="107"/>
      <c r="P249" s="172">
        <f t="shared" si="21"/>
        <v>2625</v>
      </c>
      <c r="Q249" s="172">
        <f t="shared" si="22"/>
        <v>2625</v>
      </c>
    </row>
    <row r="250" spans="1:231" ht="31.5">
      <c r="A250" s="10">
        <v>8</v>
      </c>
      <c r="B250" s="24" t="s">
        <v>1030</v>
      </c>
      <c r="C250" s="22" t="s">
        <v>10</v>
      </c>
      <c r="D250" s="415">
        <v>2018</v>
      </c>
      <c r="E250" s="415">
        <v>2020</v>
      </c>
      <c r="F250" s="312" t="s">
        <v>682</v>
      </c>
      <c r="G250" s="313">
        <v>8710</v>
      </c>
      <c r="H250" s="313">
        <v>8710</v>
      </c>
      <c r="I250" s="313">
        <v>0</v>
      </c>
      <c r="J250" s="313">
        <v>0</v>
      </c>
      <c r="K250" s="313">
        <v>2612</v>
      </c>
      <c r="L250" s="22" t="s">
        <v>880</v>
      </c>
      <c r="M250" s="107"/>
      <c r="P250" s="172">
        <f t="shared" si="21"/>
        <v>2612</v>
      </c>
      <c r="Q250" s="172">
        <f t="shared" si="22"/>
        <v>2612</v>
      </c>
    </row>
    <row r="251" spans="1:231" ht="31.5">
      <c r="A251" s="10">
        <v>9</v>
      </c>
      <c r="B251" s="24" t="s">
        <v>1031</v>
      </c>
      <c r="C251" s="22" t="s">
        <v>44</v>
      </c>
      <c r="D251" s="415">
        <v>2018</v>
      </c>
      <c r="E251" s="415">
        <v>2020</v>
      </c>
      <c r="F251" s="312" t="s">
        <v>688</v>
      </c>
      <c r="G251" s="313">
        <v>9000</v>
      </c>
      <c r="H251" s="313">
        <v>9000</v>
      </c>
      <c r="I251" s="313">
        <v>60</v>
      </c>
      <c r="J251" s="313">
        <v>60</v>
      </c>
      <c r="K251" s="313">
        <v>2682</v>
      </c>
      <c r="L251" s="22" t="s">
        <v>930</v>
      </c>
      <c r="M251" s="107"/>
      <c r="P251" s="172">
        <f t="shared" si="21"/>
        <v>2742</v>
      </c>
      <c r="Q251" s="172">
        <f t="shared" si="22"/>
        <v>2742</v>
      </c>
    </row>
    <row r="252" spans="1:231" ht="31.5">
      <c r="A252" s="10">
        <v>10</v>
      </c>
      <c r="B252" s="24" t="s">
        <v>1032</v>
      </c>
      <c r="C252" s="22" t="s">
        <v>44</v>
      </c>
      <c r="D252" s="415">
        <v>2018</v>
      </c>
      <c r="E252" s="415">
        <v>2020</v>
      </c>
      <c r="F252" s="312" t="s">
        <v>534</v>
      </c>
      <c r="G252" s="313">
        <v>9500</v>
      </c>
      <c r="H252" s="313">
        <v>9500</v>
      </c>
      <c r="I252" s="313">
        <v>60</v>
      </c>
      <c r="J252" s="313">
        <v>60</v>
      </c>
      <c r="K252" s="313">
        <v>2832</v>
      </c>
      <c r="L252" s="22" t="s">
        <v>930</v>
      </c>
      <c r="M252" s="107"/>
      <c r="P252" s="172">
        <f t="shared" si="21"/>
        <v>2892</v>
      </c>
      <c r="Q252" s="172">
        <f t="shared" si="22"/>
        <v>2892</v>
      </c>
    </row>
    <row r="253" spans="1:231" ht="31.5">
      <c r="A253" s="10">
        <v>11</v>
      </c>
      <c r="B253" s="24" t="s">
        <v>1033</v>
      </c>
      <c r="C253" s="22" t="s">
        <v>44</v>
      </c>
      <c r="D253" s="415">
        <v>2018</v>
      </c>
      <c r="E253" s="415">
        <v>2020</v>
      </c>
      <c r="F253" s="312" t="s">
        <v>529</v>
      </c>
      <c r="G253" s="313">
        <v>9986</v>
      </c>
      <c r="H253" s="313">
        <v>9986</v>
      </c>
      <c r="I253" s="313">
        <v>60</v>
      </c>
      <c r="J253" s="313">
        <v>60</v>
      </c>
      <c r="K253" s="313">
        <v>2978</v>
      </c>
      <c r="L253" s="22" t="s">
        <v>930</v>
      </c>
      <c r="M253" s="107"/>
      <c r="P253" s="172">
        <f t="shared" si="21"/>
        <v>3038</v>
      </c>
      <c r="Q253" s="172">
        <f t="shared" si="22"/>
        <v>3038</v>
      </c>
    </row>
    <row r="254" spans="1:231" ht="47.25">
      <c r="A254" s="10">
        <v>12</v>
      </c>
      <c r="B254" s="24" t="s">
        <v>1034</v>
      </c>
      <c r="C254" s="22" t="s">
        <v>10</v>
      </c>
      <c r="D254" s="415">
        <v>2018</v>
      </c>
      <c r="E254" s="415">
        <v>2020</v>
      </c>
      <c r="F254" s="312" t="s">
        <v>1035</v>
      </c>
      <c r="G254" s="313">
        <v>33795</v>
      </c>
      <c r="H254" s="313">
        <v>33795</v>
      </c>
      <c r="I254" s="313">
        <v>0</v>
      </c>
      <c r="J254" s="313">
        <v>0</v>
      </c>
      <c r="K254" s="441">
        <f>9125</f>
        <v>9125</v>
      </c>
      <c r="L254" s="22" t="s">
        <v>880</v>
      </c>
      <c r="M254" s="107" t="s">
        <v>1018</v>
      </c>
      <c r="N254" s="146">
        <v>21284</v>
      </c>
      <c r="P254" s="172">
        <f t="shared" si="21"/>
        <v>9125</v>
      </c>
      <c r="Q254" s="172">
        <f t="shared" si="22"/>
        <v>9125</v>
      </c>
    </row>
    <row r="255" spans="1:231" s="448" customFormat="1" ht="15.75">
      <c r="A255" s="19" t="s">
        <v>1036</v>
      </c>
      <c r="B255" s="445" t="s">
        <v>1037</v>
      </c>
      <c r="C255" s="446"/>
      <c r="D255" s="21"/>
      <c r="E255" s="21"/>
      <c r="F255" s="447"/>
      <c r="G255" s="20">
        <f>SUBTOTAL(109,G256:G296)</f>
        <v>192326</v>
      </c>
      <c r="H255" s="20">
        <f>SUBTOTAL(109,H256:H296)</f>
        <v>146141</v>
      </c>
      <c r="I255" s="20">
        <f>SUBTOTAL(109,I256:I296)</f>
        <v>61217</v>
      </c>
      <c r="J255" s="20">
        <f>SUBTOTAL(109,J256:J296)</f>
        <v>48217</v>
      </c>
      <c r="K255" s="20">
        <f>SUBTOTAL(109,K256:K296)</f>
        <v>40000</v>
      </c>
      <c r="L255" s="20"/>
      <c r="M255" s="320"/>
      <c r="N255" s="222"/>
      <c r="O255" s="222"/>
      <c r="P255" s="172">
        <f t="shared" si="21"/>
        <v>101217</v>
      </c>
      <c r="Q255" s="172">
        <f t="shared" si="22"/>
        <v>88217</v>
      </c>
      <c r="R255" s="222"/>
      <c r="S255" s="222"/>
      <c r="T255" s="222"/>
      <c r="U255" s="222"/>
      <c r="V255" s="222"/>
      <c r="W255" s="222"/>
      <c r="X255" s="222"/>
      <c r="Y255" s="222"/>
      <c r="Z255" s="222"/>
      <c r="AA255" s="222"/>
      <c r="AB255" s="222"/>
      <c r="AC255" s="222"/>
      <c r="AD255" s="222"/>
      <c r="AE255" s="222"/>
      <c r="AF255" s="222"/>
      <c r="AG255" s="222"/>
      <c r="AH255" s="222"/>
      <c r="AI255" s="222"/>
      <c r="AJ255" s="222"/>
      <c r="AK255" s="222"/>
      <c r="AL255" s="222"/>
      <c r="AM255" s="222"/>
      <c r="AN255" s="222"/>
      <c r="AO255" s="222"/>
      <c r="AP255" s="222"/>
      <c r="AQ255" s="222"/>
      <c r="AR255" s="222"/>
      <c r="AS255" s="222"/>
      <c r="AT255" s="222"/>
      <c r="AU255" s="222"/>
      <c r="AV255" s="222"/>
      <c r="AW255" s="222"/>
      <c r="AX255" s="222"/>
      <c r="AY255" s="222"/>
      <c r="AZ255" s="222"/>
      <c r="BA255" s="222"/>
      <c r="BB255" s="222"/>
      <c r="BC255" s="222"/>
      <c r="BD255" s="222"/>
      <c r="BE255" s="222"/>
      <c r="BF255" s="222"/>
      <c r="BG255" s="222"/>
      <c r="BH255" s="222"/>
      <c r="BI255" s="222"/>
      <c r="BJ255" s="222"/>
      <c r="BK255" s="222"/>
      <c r="BL255" s="222"/>
      <c r="BM255" s="222"/>
      <c r="BN255" s="222"/>
      <c r="BO255" s="222"/>
      <c r="BP255" s="222"/>
      <c r="BQ255" s="222"/>
      <c r="BR255" s="222"/>
      <c r="BS255" s="222"/>
      <c r="BT255" s="222"/>
      <c r="BU255" s="222"/>
      <c r="BV255" s="222"/>
      <c r="BW255" s="222"/>
      <c r="BX255" s="222"/>
      <c r="BY255" s="222"/>
      <c r="BZ255" s="222"/>
      <c r="CA255" s="222"/>
      <c r="CB255" s="222"/>
      <c r="CC255" s="222"/>
      <c r="CD255" s="222"/>
      <c r="CE255" s="222"/>
      <c r="CF255" s="222"/>
      <c r="CG255" s="222"/>
      <c r="CH255" s="222"/>
      <c r="CI255" s="222"/>
      <c r="CJ255" s="222"/>
      <c r="CK255" s="222"/>
      <c r="CL255" s="222"/>
      <c r="CM255" s="222"/>
      <c r="CN255" s="222"/>
      <c r="CO255" s="222"/>
      <c r="CP255" s="222"/>
      <c r="CQ255" s="222"/>
      <c r="CR255" s="222"/>
      <c r="CS255" s="222"/>
      <c r="CT255" s="222"/>
      <c r="CU255" s="222"/>
      <c r="CV255" s="222"/>
      <c r="CW255" s="222"/>
      <c r="CX255" s="222"/>
      <c r="CY255" s="222"/>
      <c r="CZ255" s="222"/>
      <c r="DA255" s="222"/>
      <c r="DB255" s="222"/>
      <c r="DC255" s="222"/>
      <c r="DD255" s="222"/>
      <c r="DE255" s="222"/>
      <c r="DF255" s="222"/>
      <c r="DG255" s="222"/>
      <c r="DH255" s="222"/>
      <c r="DI255" s="222"/>
      <c r="DJ255" s="222"/>
      <c r="DK255" s="222"/>
      <c r="DL255" s="222"/>
      <c r="DM255" s="222"/>
      <c r="DN255" s="222"/>
      <c r="DO255" s="222"/>
      <c r="DP255" s="222"/>
      <c r="DQ255" s="222"/>
      <c r="DR255" s="222"/>
      <c r="DS255" s="222"/>
      <c r="DT255" s="222"/>
      <c r="DU255" s="222"/>
      <c r="DV255" s="222"/>
      <c r="DW255" s="222"/>
      <c r="DX255" s="222"/>
      <c r="DY255" s="222"/>
      <c r="DZ255" s="222"/>
      <c r="EA255" s="222"/>
      <c r="EB255" s="222"/>
      <c r="EC255" s="222"/>
      <c r="ED255" s="222"/>
      <c r="EE255" s="222"/>
      <c r="EF255" s="222"/>
      <c r="EG255" s="222"/>
      <c r="EH255" s="222"/>
      <c r="EI255" s="222"/>
      <c r="EJ255" s="222"/>
      <c r="EK255" s="222"/>
      <c r="EL255" s="222"/>
      <c r="EM255" s="222"/>
      <c r="EN255" s="222"/>
      <c r="EO255" s="222"/>
      <c r="EP255" s="222"/>
      <c r="EQ255" s="222"/>
      <c r="ER255" s="222"/>
      <c r="ES255" s="222"/>
      <c r="ET255" s="222"/>
      <c r="EU255" s="222"/>
      <c r="EV255" s="222"/>
      <c r="EW255" s="222"/>
      <c r="EX255" s="222"/>
      <c r="EY255" s="222"/>
      <c r="EZ255" s="222"/>
      <c r="FA255" s="222"/>
      <c r="FB255" s="222"/>
      <c r="FC255" s="222"/>
      <c r="FD255" s="222"/>
      <c r="FE255" s="222"/>
      <c r="FF255" s="222"/>
      <c r="FG255" s="222"/>
      <c r="FH255" s="222"/>
      <c r="FI255" s="222"/>
      <c r="FJ255" s="222"/>
      <c r="FK255" s="222"/>
      <c r="FL255" s="222"/>
      <c r="FM255" s="222"/>
      <c r="FN255" s="222"/>
      <c r="FO255" s="222"/>
      <c r="FP255" s="222"/>
      <c r="FQ255" s="222"/>
      <c r="FR255" s="222"/>
      <c r="FS255" s="222"/>
      <c r="FT255" s="222"/>
      <c r="FU255" s="222"/>
      <c r="FV255" s="222"/>
      <c r="FW255" s="222"/>
      <c r="FX255" s="222"/>
      <c r="FY255" s="222"/>
      <c r="FZ255" s="222"/>
      <c r="GA255" s="222"/>
      <c r="GB255" s="222"/>
      <c r="GC255" s="222"/>
      <c r="GD255" s="222"/>
      <c r="GE255" s="222"/>
      <c r="GF255" s="222"/>
      <c r="GG255" s="222"/>
      <c r="GH255" s="222"/>
      <c r="GI255" s="222"/>
      <c r="GJ255" s="222"/>
      <c r="GK255" s="222"/>
      <c r="GL255" s="222"/>
      <c r="GM255" s="222"/>
      <c r="GN255" s="222"/>
      <c r="GO255" s="222"/>
      <c r="GP255" s="222"/>
      <c r="GQ255" s="222"/>
      <c r="GR255" s="222"/>
      <c r="GS255" s="222"/>
      <c r="GT255" s="222"/>
      <c r="GU255" s="222"/>
      <c r="GV255" s="222"/>
      <c r="GW255" s="222"/>
      <c r="GX255" s="222"/>
      <c r="GY255" s="222"/>
      <c r="GZ255" s="222"/>
      <c r="HA255" s="222"/>
      <c r="HB255" s="222"/>
      <c r="HC255" s="222"/>
      <c r="HD255" s="222"/>
      <c r="HE255" s="222"/>
      <c r="HF255" s="222"/>
      <c r="HG255" s="222"/>
      <c r="HH255" s="222"/>
      <c r="HI255" s="222"/>
      <c r="HJ255" s="222"/>
      <c r="HK255" s="222"/>
      <c r="HL255" s="222"/>
      <c r="HM255" s="222"/>
      <c r="HN255" s="222"/>
      <c r="HO255" s="222"/>
      <c r="HP255" s="222"/>
      <c r="HQ255" s="222"/>
      <c r="HR255" s="222"/>
      <c r="HS255" s="222"/>
      <c r="HT255" s="222"/>
      <c r="HU255" s="222"/>
      <c r="HV255" s="222"/>
      <c r="HW255" s="222"/>
    </row>
    <row r="256" spans="1:231" s="222" customFormat="1" ht="15.75">
      <c r="A256" s="19" t="s">
        <v>471</v>
      </c>
      <c r="B256" s="53" t="s">
        <v>560</v>
      </c>
      <c r="C256" s="141"/>
      <c r="D256" s="21"/>
      <c r="E256" s="21"/>
      <c r="F256" s="241"/>
      <c r="G256" s="9">
        <f>SUBTOTAL(109,G257:G283)</f>
        <v>104243</v>
      </c>
      <c r="H256" s="9">
        <f t="shared" ref="H256:K256" si="23">SUBTOTAL(109,H257:H283)</f>
        <v>81872</v>
      </c>
      <c r="I256" s="9">
        <f t="shared" si="23"/>
        <v>40386</v>
      </c>
      <c r="J256" s="9">
        <f t="shared" si="23"/>
        <v>37386</v>
      </c>
      <c r="K256" s="9">
        <f t="shared" si="23"/>
        <v>24000</v>
      </c>
      <c r="L256" s="38">
        <f>24000-K256</f>
        <v>0</v>
      </c>
      <c r="M256" s="167"/>
      <c r="N256" s="266">
        <f>116720+K256</f>
        <v>140720</v>
      </c>
      <c r="O256" s="266"/>
      <c r="P256" s="172">
        <f t="shared" si="21"/>
        <v>64386</v>
      </c>
      <c r="Q256" s="172">
        <f t="shared" si="22"/>
        <v>61386</v>
      </c>
      <c r="R256" s="266"/>
      <c r="S256" s="266"/>
      <c r="T256" s="266"/>
      <c r="U256" s="266"/>
      <c r="V256" s="266"/>
      <c r="W256" s="266"/>
      <c r="X256" s="266"/>
      <c r="Y256" s="266"/>
      <c r="Z256" s="266"/>
      <c r="AA256" s="266"/>
      <c r="AB256" s="266"/>
      <c r="AC256" s="266"/>
      <c r="AD256" s="266"/>
      <c r="AE256" s="266"/>
      <c r="AF256" s="266"/>
      <c r="AG256" s="266"/>
      <c r="AH256" s="266"/>
      <c r="AI256" s="266"/>
      <c r="AJ256" s="266"/>
      <c r="AK256" s="266"/>
      <c r="AL256" s="266"/>
      <c r="AM256" s="266"/>
      <c r="AN256" s="266"/>
      <c r="AO256" s="266"/>
      <c r="AP256" s="266"/>
      <c r="AQ256" s="266"/>
      <c r="AR256" s="266"/>
      <c r="AS256" s="266"/>
      <c r="AT256" s="266"/>
      <c r="AU256" s="266"/>
      <c r="AV256" s="266"/>
      <c r="AW256" s="266"/>
      <c r="AX256" s="266"/>
      <c r="AY256" s="266"/>
      <c r="AZ256" s="266"/>
      <c r="BA256" s="266"/>
      <c r="BB256" s="266"/>
      <c r="BC256" s="266"/>
      <c r="BD256" s="266"/>
      <c r="BE256" s="266"/>
      <c r="BF256" s="266"/>
      <c r="BG256" s="266"/>
      <c r="BH256" s="266"/>
      <c r="BI256" s="266"/>
      <c r="BJ256" s="266"/>
      <c r="BK256" s="266"/>
      <c r="BL256" s="266"/>
      <c r="BM256" s="266"/>
      <c r="BN256" s="266"/>
      <c r="BO256" s="266"/>
      <c r="BP256" s="266"/>
      <c r="BQ256" s="266"/>
      <c r="BR256" s="266"/>
      <c r="BS256" s="266"/>
      <c r="BT256" s="266"/>
      <c r="BU256" s="266"/>
      <c r="BV256" s="266"/>
      <c r="BW256" s="266"/>
      <c r="BX256" s="266"/>
      <c r="BY256" s="266"/>
      <c r="BZ256" s="266"/>
      <c r="CA256" s="266"/>
      <c r="CB256" s="266"/>
      <c r="CC256" s="266"/>
      <c r="CD256" s="266"/>
      <c r="CE256" s="266"/>
      <c r="CF256" s="266"/>
      <c r="CG256" s="266"/>
      <c r="CH256" s="266"/>
      <c r="CI256" s="266"/>
      <c r="CJ256" s="266"/>
      <c r="CK256" s="266"/>
      <c r="CL256" s="266"/>
      <c r="CM256" s="266"/>
      <c r="CN256" s="266"/>
      <c r="CO256" s="266"/>
      <c r="CP256" s="266"/>
      <c r="CQ256" s="266"/>
      <c r="CR256" s="266"/>
      <c r="CS256" s="266"/>
      <c r="CT256" s="266"/>
      <c r="CU256" s="266"/>
      <c r="CV256" s="266"/>
      <c r="CW256" s="266"/>
      <c r="CX256" s="266"/>
      <c r="CY256" s="266"/>
      <c r="CZ256" s="266"/>
      <c r="DA256" s="266"/>
      <c r="DB256" s="266"/>
      <c r="DC256" s="266"/>
      <c r="DD256" s="266"/>
      <c r="DE256" s="266"/>
      <c r="DF256" s="266"/>
      <c r="DG256" s="266"/>
      <c r="DH256" s="266"/>
      <c r="DI256" s="266"/>
      <c r="DJ256" s="266"/>
      <c r="DK256" s="266"/>
      <c r="DL256" s="266"/>
      <c r="DM256" s="266"/>
      <c r="DN256" s="266"/>
      <c r="DO256" s="266"/>
      <c r="DP256" s="266"/>
      <c r="DQ256" s="266"/>
      <c r="DR256" s="266"/>
      <c r="DS256" s="266"/>
      <c r="DT256" s="266"/>
      <c r="DU256" s="266"/>
      <c r="DV256" s="266"/>
      <c r="DW256" s="266"/>
      <c r="DX256" s="266"/>
      <c r="DY256" s="266"/>
      <c r="DZ256" s="266"/>
      <c r="EA256" s="266"/>
      <c r="EB256" s="266"/>
      <c r="EC256" s="266"/>
      <c r="ED256" s="266"/>
      <c r="EE256" s="266"/>
      <c r="EF256" s="266"/>
      <c r="EG256" s="266"/>
      <c r="EH256" s="266"/>
      <c r="EI256" s="266"/>
      <c r="EJ256" s="266"/>
      <c r="EK256" s="266"/>
      <c r="EL256" s="266"/>
      <c r="EM256" s="266"/>
      <c r="EN256" s="266"/>
      <c r="EO256" s="266"/>
      <c r="EP256" s="266"/>
      <c r="EQ256" s="266"/>
      <c r="ER256" s="266"/>
      <c r="ES256" s="266"/>
      <c r="ET256" s="266"/>
      <c r="EU256" s="266"/>
      <c r="EV256" s="266"/>
      <c r="EW256" s="266"/>
      <c r="EX256" s="266"/>
      <c r="EY256" s="266"/>
      <c r="EZ256" s="266"/>
      <c r="FA256" s="266"/>
      <c r="FB256" s="266"/>
      <c r="FC256" s="266"/>
      <c r="FD256" s="266"/>
      <c r="FE256" s="266"/>
      <c r="FF256" s="266"/>
      <c r="FG256" s="266"/>
      <c r="FH256" s="266"/>
      <c r="FI256" s="266"/>
      <c r="FJ256" s="266"/>
      <c r="FK256" s="266"/>
      <c r="FL256" s="266"/>
      <c r="FM256" s="266"/>
      <c r="FN256" s="266"/>
      <c r="FO256" s="266"/>
      <c r="FP256" s="266"/>
      <c r="FQ256" s="266"/>
      <c r="FR256" s="266"/>
      <c r="FS256" s="266"/>
      <c r="FT256" s="266"/>
      <c r="FU256" s="266"/>
      <c r="FV256" s="266"/>
      <c r="FW256" s="266"/>
      <c r="FX256" s="266"/>
      <c r="FY256" s="266"/>
      <c r="FZ256" s="266"/>
      <c r="GA256" s="266"/>
      <c r="GB256" s="266"/>
      <c r="GC256" s="266"/>
      <c r="GD256" s="266"/>
      <c r="GE256" s="266"/>
      <c r="GF256" s="266"/>
      <c r="GG256" s="266"/>
      <c r="GH256" s="266"/>
      <c r="GI256" s="266"/>
      <c r="GJ256" s="266"/>
      <c r="GK256" s="266"/>
      <c r="GL256" s="266"/>
      <c r="GM256" s="266"/>
      <c r="GN256" s="266"/>
      <c r="GO256" s="266"/>
      <c r="GP256" s="266"/>
      <c r="GQ256" s="266"/>
      <c r="GR256" s="266"/>
      <c r="GS256" s="266"/>
      <c r="GT256" s="266"/>
      <c r="GU256" s="266"/>
      <c r="GV256" s="266"/>
      <c r="GW256" s="266"/>
      <c r="GX256" s="266"/>
      <c r="GY256" s="266"/>
      <c r="GZ256" s="266"/>
      <c r="HA256" s="266"/>
      <c r="HB256" s="266"/>
      <c r="HC256" s="266"/>
      <c r="HD256" s="266"/>
      <c r="HE256" s="266"/>
      <c r="HF256" s="266"/>
      <c r="HG256" s="266"/>
      <c r="HH256" s="266"/>
      <c r="HI256" s="266"/>
      <c r="HJ256" s="266"/>
      <c r="HK256" s="266"/>
      <c r="HL256" s="266"/>
      <c r="HM256" s="266"/>
      <c r="HN256" s="266"/>
      <c r="HO256" s="266"/>
      <c r="HP256" s="266"/>
      <c r="HQ256" s="266"/>
      <c r="HR256" s="266"/>
      <c r="HS256" s="266"/>
      <c r="HT256" s="266"/>
      <c r="HU256" s="266"/>
      <c r="HV256" s="266"/>
      <c r="HW256" s="266"/>
    </row>
    <row r="257" spans="1:231" s="235" customFormat="1" ht="15.75">
      <c r="A257" s="175" t="s">
        <v>821</v>
      </c>
      <c r="B257" s="212" t="s">
        <v>698</v>
      </c>
      <c r="C257" s="177"/>
      <c r="D257" s="178"/>
      <c r="E257" s="178"/>
      <c r="F257" s="234"/>
      <c r="G257" s="20"/>
      <c r="H257" s="20"/>
      <c r="I257" s="20"/>
      <c r="J257" s="20"/>
      <c r="K257" s="20"/>
      <c r="L257" s="181"/>
      <c r="M257" s="182"/>
      <c r="N257" s="266"/>
      <c r="O257" s="266"/>
      <c r="P257" s="172">
        <f t="shared" si="21"/>
        <v>0</v>
      </c>
      <c r="Q257" s="172">
        <f t="shared" si="22"/>
        <v>0</v>
      </c>
      <c r="R257" s="266"/>
      <c r="S257" s="266"/>
      <c r="T257" s="266"/>
      <c r="U257" s="266"/>
      <c r="V257" s="266"/>
      <c r="W257" s="266"/>
      <c r="X257" s="266"/>
      <c r="Y257" s="266"/>
      <c r="Z257" s="266"/>
      <c r="AA257" s="266"/>
      <c r="AB257" s="266"/>
      <c r="AC257" s="266"/>
      <c r="AD257" s="266"/>
      <c r="AE257" s="266"/>
      <c r="AF257" s="266"/>
      <c r="AG257" s="266"/>
      <c r="AH257" s="266"/>
      <c r="AI257" s="266"/>
      <c r="AJ257" s="266"/>
      <c r="AK257" s="266"/>
      <c r="AL257" s="266"/>
      <c r="AM257" s="266"/>
      <c r="AN257" s="266"/>
      <c r="AO257" s="266"/>
      <c r="AP257" s="266"/>
      <c r="AQ257" s="266"/>
      <c r="AR257" s="266"/>
      <c r="AS257" s="266"/>
      <c r="AT257" s="266"/>
      <c r="AU257" s="266"/>
      <c r="AV257" s="266"/>
      <c r="AW257" s="266"/>
      <c r="AX257" s="266"/>
      <c r="AY257" s="266"/>
      <c r="AZ257" s="266"/>
      <c r="BA257" s="266"/>
      <c r="BB257" s="266"/>
      <c r="BC257" s="266"/>
      <c r="BD257" s="266"/>
      <c r="BE257" s="266"/>
      <c r="BF257" s="266"/>
      <c r="BG257" s="266"/>
      <c r="BH257" s="266"/>
      <c r="BI257" s="266"/>
      <c r="BJ257" s="266"/>
      <c r="BK257" s="266"/>
      <c r="BL257" s="266"/>
      <c r="BM257" s="266"/>
      <c r="BN257" s="266"/>
      <c r="BO257" s="266"/>
      <c r="BP257" s="266"/>
      <c r="BQ257" s="266"/>
      <c r="BR257" s="266"/>
      <c r="BS257" s="266"/>
      <c r="BT257" s="266"/>
      <c r="BU257" s="266"/>
      <c r="BV257" s="266"/>
      <c r="BW257" s="266"/>
      <c r="BX257" s="266"/>
      <c r="BY257" s="266"/>
      <c r="BZ257" s="266"/>
      <c r="CA257" s="266"/>
      <c r="CB257" s="266"/>
      <c r="CC257" s="266"/>
      <c r="CD257" s="266"/>
      <c r="CE257" s="266"/>
      <c r="CF257" s="266"/>
      <c r="CG257" s="266"/>
      <c r="CH257" s="266"/>
      <c r="CI257" s="266"/>
      <c r="CJ257" s="266"/>
      <c r="CK257" s="266"/>
      <c r="CL257" s="266"/>
      <c r="CM257" s="266"/>
      <c r="CN257" s="266"/>
      <c r="CO257" s="266"/>
      <c r="CP257" s="266"/>
      <c r="CQ257" s="266"/>
      <c r="CR257" s="266"/>
      <c r="CS257" s="266"/>
      <c r="CT257" s="266"/>
      <c r="CU257" s="266"/>
      <c r="CV257" s="266"/>
      <c r="CW257" s="266"/>
      <c r="CX257" s="266"/>
      <c r="CY257" s="266"/>
      <c r="CZ257" s="266"/>
      <c r="DA257" s="266"/>
      <c r="DB257" s="266"/>
      <c r="DC257" s="266"/>
      <c r="DD257" s="266"/>
      <c r="DE257" s="266"/>
      <c r="DF257" s="266"/>
      <c r="DG257" s="266"/>
      <c r="DH257" s="266"/>
      <c r="DI257" s="266"/>
      <c r="DJ257" s="266"/>
      <c r="DK257" s="266"/>
      <c r="DL257" s="266"/>
      <c r="DM257" s="266"/>
      <c r="DN257" s="266"/>
      <c r="DO257" s="266"/>
      <c r="DP257" s="266"/>
      <c r="DQ257" s="266"/>
      <c r="DR257" s="266"/>
      <c r="DS257" s="266"/>
      <c r="DT257" s="266"/>
      <c r="DU257" s="266"/>
      <c r="DV257" s="266"/>
      <c r="DW257" s="266"/>
      <c r="DX257" s="266"/>
      <c r="DY257" s="266"/>
      <c r="DZ257" s="266"/>
      <c r="EA257" s="266"/>
      <c r="EB257" s="266"/>
      <c r="EC257" s="266"/>
      <c r="ED257" s="266"/>
      <c r="EE257" s="266"/>
      <c r="EF257" s="266"/>
      <c r="EG257" s="266"/>
      <c r="EH257" s="266"/>
      <c r="EI257" s="266"/>
      <c r="EJ257" s="266"/>
      <c r="EK257" s="266"/>
      <c r="EL257" s="266"/>
      <c r="EM257" s="266"/>
      <c r="EN257" s="266"/>
      <c r="EO257" s="266"/>
      <c r="EP257" s="266"/>
      <c r="EQ257" s="266"/>
      <c r="ER257" s="266"/>
      <c r="ES257" s="266"/>
      <c r="ET257" s="266"/>
      <c r="EU257" s="266"/>
      <c r="EV257" s="266"/>
      <c r="EW257" s="266"/>
      <c r="EX257" s="266"/>
      <c r="EY257" s="266"/>
      <c r="EZ257" s="266"/>
      <c r="FA257" s="266"/>
      <c r="FB257" s="266"/>
      <c r="FC257" s="266"/>
      <c r="FD257" s="266"/>
      <c r="FE257" s="266"/>
      <c r="FF257" s="266"/>
      <c r="FG257" s="266"/>
      <c r="FH257" s="266"/>
      <c r="FI257" s="266"/>
      <c r="FJ257" s="266"/>
      <c r="FK257" s="266"/>
      <c r="FL257" s="266"/>
      <c r="FM257" s="266"/>
      <c r="FN257" s="266"/>
      <c r="FO257" s="266"/>
      <c r="FP257" s="266"/>
      <c r="FQ257" s="266"/>
      <c r="FR257" s="266"/>
      <c r="FS257" s="266"/>
      <c r="FT257" s="266"/>
      <c r="FU257" s="266"/>
      <c r="FV257" s="266"/>
      <c r="FW257" s="266"/>
      <c r="FX257" s="266"/>
      <c r="FY257" s="266"/>
      <c r="FZ257" s="266"/>
      <c r="GA257" s="266"/>
      <c r="GB257" s="266"/>
      <c r="GC257" s="266"/>
      <c r="GD257" s="266"/>
      <c r="GE257" s="266"/>
      <c r="GF257" s="266"/>
      <c r="GG257" s="266"/>
      <c r="GH257" s="266"/>
      <c r="GI257" s="266"/>
      <c r="GJ257" s="266"/>
      <c r="GK257" s="266"/>
      <c r="GL257" s="266"/>
      <c r="GM257" s="266"/>
      <c r="GN257" s="266"/>
      <c r="GO257" s="266"/>
      <c r="GP257" s="266"/>
      <c r="GQ257" s="266"/>
      <c r="GR257" s="266"/>
      <c r="GS257" s="266"/>
      <c r="GT257" s="266"/>
      <c r="GU257" s="266"/>
      <c r="GV257" s="266"/>
      <c r="GW257" s="266"/>
      <c r="GX257" s="266"/>
      <c r="GY257" s="266"/>
      <c r="GZ257" s="266"/>
      <c r="HA257" s="266"/>
      <c r="HB257" s="266"/>
      <c r="HC257" s="266"/>
      <c r="HD257" s="266"/>
      <c r="HE257" s="266"/>
      <c r="HF257" s="266"/>
      <c r="HG257" s="266"/>
      <c r="HH257" s="266"/>
      <c r="HI257" s="266"/>
      <c r="HJ257" s="266"/>
      <c r="HK257" s="266"/>
      <c r="HL257" s="266"/>
      <c r="HM257" s="266"/>
      <c r="HN257" s="266"/>
      <c r="HO257" s="266"/>
      <c r="HP257" s="266"/>
      <c r="HQ257" s="266"/>
      <c r="HR257" s="266"/>
      <c r="HS257" s="266"/>
      <c r="HT257" s="266"/>
      <c r="HU257" s="266"/>
      <c r="HV257" s="266"/>
      <c r="HW257" s="266"/>
    </row>
    <row r="258" spans="1:231" s="225" customFormat="1" ht="31.5">
      <c r="A258" s="10">
        <v>1</v>
      </c>
      <c r="B258" s="55" t="s">
        <v>206</v>
      </c>
      <c r="C258" s="2" t="s">
        <v>9</v>
      </c>
      <c r="D258" s="3">
        <v>2016</v>
      </c>
      <c r="E258" s="3">
        <v>2018</v>
      </c>
      <c r="F258" s="219" t="s">
        <v>207</v>
      </c>
      <c r="G258" s="35">
        <v>2794</v>
      </c>
      <c r="H258" s="35">
        <v>2794</v>
      </c>
      <c r="I258" s="35">
        <v>2050</v>
      </c>
      <c r="J258" s="35">
        <f t="shared" ref="J258:J268" si="24">I258</f>
        <v>2050</v>
      </c>
      <c r="K258" s="204">
        <v>465</v>
      </c>
      <c r="L258" s="36" t="s">
        <v>1038</v>
      </c>
      <c r="M258" s="221"/>
      <c r="N258" s="222"/>
      <c r="O258" s="222"/>
      <c r="P258" s="172">
        <f t="shared" si="21"/>
        <v>2515</v>
      </c>
      <c r="Q258" s="172">
        <f t="shared" si="22"/>
        <v>2515</v>
      </c>
      <c r="R258" s="222"/>
      <c r="S258" s="222"/>
      <c r="T258" s="222"/>
      <c r="U258" s="222"/>
      <c r="V258" s="222"/>
      <c r="W258" s="222"/>
      <c r="X258" s="222"/>
      <c r="Y258" s="222"/>
      <c r="Z258" s="222"/>
      <c r="AA258" s="222"/>
      <c r="AB258" s="222"/>
      <c r="AC258" s="222"/>
      <c r="AD258" s="222"/>
      <c r="AE258" s="222"/>
      <c r="AF258" s="222"/>
      <c r="AG258" s="222"/>
      <c r="AH258" s="222"/>
      <c r="AI258" s="222"/>
      <c r="AJ258" s="222"/>
      <c r="AK258" s="222"/>
      <c r="AL258" s="222"/>
      <c r="AM258" s="222"/>
      <c r="AN258" s="222"/>
      <c r="AO258" s="222"/>
      <c r="AP258" s="222"/>
      <c r="AQ258" s="222"/>
      <c r="AR258" s="222"/>
      <c r="AS258" s="222"/>
      <c r="AT258" s="222"/>
      <c r="AU258" s="222"/>
      <c r="AV258" s="222"/>
      <c r="AW258" s="222"/>
      <c r="AX258" s="222"/>
      <c r="AY258" s="222"/>
      <c r="AZ258" s="222"/>
      <c r="BA258" s="222"/>
      <c r="BB258" s="222"/>
      <c r="BC258" s="222"/>
      <c r="BD258" s="222"/>
      <c r="BE258" s="222"/>
      <c r="BF258" s="222"/>
      <c r="BG258" s="222"/>
      <c r="BH258" s="222"/>
      <c r="BI258" s="222"/>
      <c r="BJ258" s="222"/>
      <c r="BK258" s="222"/>
      <c r="BL258" s="222"/>
      <c r="BM258" s="222"/>
      <c r="BN258" s="222"/>
      <c r="BO258" s="222"/>
      <c r="BP258" s="222"/>
      <c r="BQ258" s="222"/>
      <c r="BR258" s="222"/>
      <c r="BS258" s="222"/>
      <c r="BT258" s="222"/>
      <c r="BU258" s="222"/>
      <c r="BV258" s="222"/>
      <c r="BW258" s="222"/>
      <c r="BX258" s="222"/>
      <c r="BY258" s="222"/>
      <c r="BZ258" s="222"/>
      <c r="CA258" s="222"/>
      <c r="CB258" s="222"/>
      <c r="CC258" s="222"/>
      <c r="CD258" s="222"/>
      <c r="CE258" s="222"/>
      <c r="CF258" s="222"/>
      <c r="CG258" s="222"/>
      <c r="CH258" s="222"/>
      <c r="CI258" s="222"/>
      <c r="CJ258" s="222"/>
      <c r="CK258" s="222"/>
      <c r="CL258" s="222"/>
      <c r="CM258" s="222"/>
      <c r="CN258" s="222"/>
      <c r="CO258" s="222"/>
      <c r="CP258" s="222"/>
      <c r="CQ258" s="222"/>
      <c r="CR258" s="222"/>
      <c r="CS258" s="222"/>
      <c r="CT258" s="222"/>
      <c r="CU258" s="222"/>
      <c r="CV258" s="222"/>
      <c r="CW258" s="222"/>
      <c r="CX258" s="222"/>
      <c r="CY258" s="222"/>
      <c r="CZ258" s="222"/>
      <c r="DA258" s="222"/>
      <c r="DB258" s="222"/>
      <c r="DC258" s="222"/>
      <c r="DD258" s="222"/>
      <c r="DE258" s="222"/>
      <c r="DF258" s="222"/>
      <c r="DG258" s="222"/>
      <c r="DH258" s="222"/>
      <c r="DI258" s="222"/>
      <c r="DJ258" s="222"/>
      <c r="DK258" s="222"/>
      <c r="DL258" s="222"/>
      <c r="DM258" s="222"/>
      <c r="DN258" s="222"/>
      <c r="DO258" s="222"/>
      <c r="DP258" s="222"/>
      <c r="DQ258" s="222"/>
      <c r="DR258" s="222"/>
      <c r="DS258" s="222"/>
      <c r="DT258" s="222"/>
      <c r="DU258" s="222"/>
      <c r="DV258" s="222"/>
      <c r="DW258" s="222"/>
      <c r="DX258" s="222"/>
      <c r="DY258" s="222"/>
      <c r="DZ258" s="222"/>
      <c r="EA258" s="222"/>
      <c r="EB258" s="222"/>
      <c r="EC258" s="222"/>
      <c r="ED258" s="222"/>
      <c r="EE258" s="222"/>
      <c r="EF258" s="222"/>
      <c r="EG258" s="222"/>
      <c r="EH258" s="222"/>
      <c r="EI258" s="222"/>
      <c r="EJ258" s="222"/>
      <c r="EK258" s="222"/>
      <c r="EL258" s="222"/>
      <c r="EM258" s="222"/>
      <c r="EN258" s="222"/>
      <c r="EO258" s="222"/>
      <c r="EP258" s="222"/>
      <c r="EQ258" s="222"/>
      <c r="ER258" s="222"/>
      <c r="ES258" s="222"/>
      <c r="ET258" s="222"/>
      <c r="EU258" s="222"/>
      <c r="EV258" s="222"/>
      <c r="EW258" s="222"/>
      <c r="EX258" s="222"/>
      <c r="EY258" s="222"/>
      <c r="EZ258" s="222"/>
      <c r="FA258" s="222"/>
      <c r="FB258" s="222"/>
      <c r="FC258" s="222"/>
      <c r="FD258" s="222"/>
      <c r="FE258" s="222"/>
      <c r="FF258" s="222"/>
      <c r="FG258" s="222"/>
      <c r="FH258" s="222"/>
      <c r="FI258" s="222"/>
      <c r="FJ258" s="222"/>
      <c r="FK258" s="222"/>
      <c r="FL258" s="222"/>
      <c r="FM258" s="222"/>
      <c r="FN258" s="222"/>
      <c r="FO258" s="222"/>
      <c r="FP258" s="222"/>
      <c r="FQ258" s="222"/>
      <c r="FR258" s="222"/>
      <c r="FS258" s="222"/>
      <c r="FT258" s="222"/>
      <c r="FU258" s="222"/>
      <c r="FV258" s="222"/>
      <c r="FW258" s="222"/>
      <c r="FX258" s="222"/>
      <c r="FY258" s="222"/>
      <c r="FZ258" s="222"/>
      <c r="GA258" s="222"/>
      <c r="GB258" s="222"/>
      <c r="GC258" s="222"/>
      <c r="GD258" s="222"/>
      <c r="GE258" s="222"/>
      <c r="GF258" s="222"/>
      <c r="GG258" s="222"/>
      <c r="GH258" s="222"/>
      <c r="GI258" s="222"/>
      <c r="GJ258" s="222"/>
      <c r="GK258" s="222"/>
      <c r="GL258" s="222"/>
      <c r="GM258" s="222"/>
      <c r="GN258" s="222"/>
      <c r="GO258" s="222"/>
      <c r="GP258" s="222"/>
      <c r="GQ258" s="222"/>
      <c r="GR258" s="222"/>
      <c r="GS258" s="222"/>
      <c r="GT258" s="222"/>
      <c r="GU258" s="222"/>
      <c r="GV258" s="222"/>
      <c r="GW258" s="222"/>
      <c r="GX258" s="222"/>
      <c r="GY258" s="222"/>
      <c r="GZ258" s="222"/>
      <c r="HA258" s="222"/>
      <c r="HB258" s="222"/>
      <c r="HC258" s="222"/>
      <c r="HD258" s="222"/>
      <c r="HE258" s="222"/>
      <c r="HF258" s="222"/>
      <c r="HG258" s="222"/>
      <c r="HH258" s="222"/>
      <c r="HI258" s="222"/>
      <c r="HJ258" s="222"/>
      <c r="HK258" s="222"/>
      <c r="HL258" s="222"/>
      <c r="HM258" s="222"/>
      <c r="HN258" s="222"/>
      <c r="HO258" s="222"/>
      <c r="HP258" s="222"/>
      <c r="HQ258" s="222"/>
      <c r="HR258" s="222"/>
      <c r="HS258" s="222"/>
      <c r="HT258" s="222"/>
      <c r="HU258" s="222"/>
      <c r="HV258" s="222"/>
      <c r="HW258" s="222"/>
    </row>
    <row r="259" spans="1:231" s="222" customFormat="1" ht="31.5">
      <c r="A259" s="10">
        <v>2</v>
      </c>
      <c r="B259" s="62" t="s">
        <v>218</v>
      </c>
      <c r="C259" s="218" t="s">
        <v>10</v>
      </c>
      <c r="D259" s="3">
        <v>2016</v>
      </c>
      <c r="E259" s="3">
        <v>2018</v>
      </c>
      <c r="F259" s="224" t="s">
        <v>219</v>
      </c>
      <c r="G259" s="220">
        <v>2500</v>
      </c>
      <c r="H259" s="220">
        <v>2500</v>
      </c>
      <c r="I259" s="220">
        <v>1650</v>
      </c>
      <c r="J259" s="220">
        <f t="shared" si="24"/>
        <v>1650</v>
      </c>
      <c r="K259" s="204">
        <v>600</v>
      </c>
      <c r="L259" s="36" t="s">
        <v>1039</v>
      </c>
      <c r="M259" s="221"/>
      <c r="N259" s="225"/>
      <c r="O259" s="225"/>
      <c r="P259" s="172">
        <f t="shared" si="21"/>
        <v>2250</v>
      </c>
      <c r="Q259" s="172">
        <f t="shared" si="22"/>
        <v>2250</v>
      </c>
      <c r="R259" s="225"/>
      <c r="S259" s="225"/>
      <c r="T259" s="225"/>
      <c r="U259" s="225"/>
      <c r="V259" s="225"/>
      <c r="W259" s="225"/>
      <c r="X259" s="225"/>
      <c r="Y259" s="225"/>
      <c r="Z259" s="225"/>
      <c r="AA259" s="225"/>
      <c r="AB259" s="225"/>
      <c r="AC259" s="225"/>
      <c r="AD259" s="225"/>
      <c r="AE259" s="225"/>
      <c r="AF259" s="225"/>
      <c r="AG259" s="225"/>
      <c r="AH259" s="225"/>
      <c r="AI259" s="225"/>
      <c r="AJ259" s="225"/>
      <c r="AK259" s="225"/>
      <c r="AL259" s="225"/>
      <c r="AM259" s="225"/>
      <c r="AN259" s="225"/>
      <c r="AO259" s="225"/>
      <c r="AP259" s="225"/>
      <c r="AQ259" s="225"/>
      <c r="AR259" s="225"/>
      <c r="AS259" s="225"/>
      <c r="AT259" s="225"/>
      <c r="AU259" s="225"/>
      <c r="AV259" s="225"/>
      <c r="AW259" s="225"/>
      <c r="AX259" s="225"/>
      <c r="AY259" s="225"/>
      <c r="AZ259" s="225"/>
      <c r="BA259" s="225"/>
      <c r="BB259" s="225"/>
      <c r="BC259" s="225"/>
      <c r="BD259" s="225"/>
      <c r="BE259" s="225"/>
      <c r="BF259" s="225"/>
      <c r="BG259" s="225"/>
      <c r="BH259" s="225"/>
      <c r="BI259" s="225"/>
      <c r="BJ259" s="225"/>
      <c r="BK259" s="225"/>
      <c r="BL259" s="225"/>
      <c r="BM259" s="225"/>
      <c r="BN259" s="225"/>
      <c r="BO259" s="225"/>
      <c r="BP259" s="225"/>
      <c r="BQ259" s="225"/>
      <c r="BR259" s="225"/>
      <c r="BS259" s="225"/>
      <c r="BT259" s="225"/>
      <c r="BU259" s="225"/>
      <c r="BV259" s="225"/>
      <c r="BW259" s="225"/>
      <c r="BX259" s="225"/>
      <c r="BY259" s="225"/>
      <c r="BZ259" s="225"/>
      <c r="CA259" s="225"/>
      <c r="CB259" s="225"/>
      <c r="CC259" s="225"/>
      <c r="CD259" s="225"/>
      <c r="CE259" s="225"/>
      <c r="CF259" s="225"/>
      <c r="CG259" s="225"/>
      <c r="CH259" s="225"/>
      <c r="CI259" s="225"/>
      <c r="CJ259" s="225"/>
      <c r="CK259" s="225"/>
      <c r="CL259" s="225"/>
      <c r="CM259" s="225"/>
      <c r="CN259" s="225"/>
      <c r="CO259" s="225"/>
      <c r="CP259" s="225"/>
      <c r="CQ259" s="225"/>
      <c r="CR259" s="225"/>
      <c r="CS259" s="225"/>
      <c r="CT259" s="225"/>
      <c r="CU259" s="225"/>
      <c r="CV259" s="225"/>
      <c r="CW259" s="225"/>
      <c r="CX259" s="225"/>
      <c r="CY259" s="225"/>
      <c r="CZ259" s="225"/>
      <c r="DA259" s="225"/>
      <c r="DB259" s="225"/>
      <c r="DC259" s="225"/>
      <c r="DD259" s="225"/>
      <c r="DE259" s="225"/>
      <c r="DF259" s="225"/>
      <c r="DG259" s="225"/>
      <c r="DH259" s="225"/>
      <c r="DI259" s="225"/>
      <c r="DJ259" s="225"/>
      <c r="DK259" s="225"/>
      <c r="DL259" s="225"/>
      <c r="DM259" s="225"/>
      <c r="DN259" s="225"/>
      <c r="DO259" s="225"/>
      <c r="DP259" s="225"/>
      <c r="DQ259" s="225"/>
      <c r="DR259" s="225"/>
      <c r="DS259" s="225"/>
      <c r="DT259" s="225"/>
      <c r="DU259" s="225"/>
      <c r="DV259" s="225"/>
      <c r="DW259" s="225"/>
      <c r="DX259" s="225"/>
      <c r="DY259" s="225"/>
      <c r="DZ259" s="225"/>
      <c r="EA259" s="225"/>
      <c r="EB259" s="225"/>
      <c r="EC259" s="225"/>
      <c r="ED259" s="225"/>
      <c r="EE259" s="225"/>
      <c r="EF259" s="225"/>
      <c r="EG259" s="225"/>
      <c r="EH259" s="225"/>
      <c r="EI259" s="225"/>
      <c r="EJ259" s="225"/>
      <c r="EK259" s="225"/>
      <c r="EL259" s="225"/>
      <c r="EM259" s="225"/>
      <c r="EN259" s="225"/>
      <c r="EO259" s="225"/>
      <c r="EP259" s="225"/>
      <c r="EQ259" s="225"/>
      <c r="ER259" s="225"/>
      <c r="ES259" s="225"/>
      <c r="ET259" s="225"/>
      <c r="EU259" s="225"/>
      <c r="EV259" s="225"/>
      <c r="EW259" s="225"/>
      <c r="EX259" s="225"/>
      <c r="EY259" s="225"/>
      <c r="EZ259" s="225"/>
      <c r="FA259" s="225"/>
      <c r="FB259" s="225"/>
      <c r="FC259" s="225"/>
      <c r="FD259" s="225"/>
      <c r="FE259" s="225"/>
      <c r="FF259" s="225"/>
      <c r="FG259" s="225"/>
      <c r="FH259" s="225"/>
      <c r="FI259" s="225"/>
      <c r="FJ259" s="225"/>
      <c r="FK259" s="225"/>
      <c r="FL259" s="225"/>
      <c r="FM259" s="225"/>
      <c r="FN259" s="225"/>
      <c r="FO259" s="225"/>
      <c r="FP259" s="225"/>
      <c r="FQ259" s="225"/>
      <c r="FR259" s="225"/>
      <c r="FS259" s="225"/>
      <c r="FT259" s="225"/>
      <c r="FU259" s="225"/>
      <c r="FV259" s="225"/>
      <c r="FW259" s="225"/>
      <c r="FX259" s="225"/>
      <c r="FY259" s="225"/>
      <c r="FZ259" s="225"/>
      <c r="GA259" s="225"/>
      <c r="GB259" s="225"/>
      <c r="GC259" s="225"/>
      <c r="GD259" s="225"/>
      <c r="GE259" s="225"/>
      <c r="GF259" s="225"/>
      <c r="GG259" s="225"/>
      <c r="GH259" s="225"/>
      <c r="GI259" s="225"/>
      <c r="GJ259" s="225"/>
      <c r="GK259" s="225"/>
      <c r="GL259" s="225"/>
      <c r="GM259" s="225"/>
      <c r="GN259" s="225"/>
      <c r="GO259" s="225"/>
      <c r="GP259" s="225"/>
      <c r="GQ259" s="225"/>
      <c r="GR259" s="225"/>
      <c r="GS259" s="225"/>
      <c r="GT259" s="225"/>
      <c r="GU259" s="225"/>
      <c r="GV259" s="225"/>
      <c r="GW259" s="225"/>
      <c r="GX259" s="225"/>
      <c r="GY259" s="225"/>
      <c r="GZ259" s="225"/>
      <c r="HA259" s="225"/>
      <c r="HB259" s="225"/>
      <c r="HC259" s="225"/>
      <c r="HD259" s="225"/>
      <c r="HE259" s="225"/>
      <c r="HF259" s="225"/>
      <c r="HG259" s="225"/>
      <c r="HH259" s="225"/>
      <c r="HI259" s="225"/>
      <c r="HJ259" s="225"/>
      <c r="HK259" s="225"/>
      <c r="HL259" s="225"/>
      <c r="HM259" s="225"/>
      <c r="HN259" s="225"/>
      <c r="HO259" s="225"/>
      <c r="HP259" s="225"/>
      <c r="HQ259" s="225"/>
      <c r="HR259" s="225"/>
      <c r="HS259" s="225"/>
      <c r="HT259" s="225"/>
      <c r="HU259" s="225"/>
      <c r="HV259" s="225"/>
      <c r="HW259" s="225"/>
    </row>
    <row r="260" spans="1:231" s="223" customFormat="1" ht="31.5">
      <c r="A260" s="10">
        <v>3</v>
      </c>
      <c r="B260" s="55" t="s">
        <v>181</v>
      </c>
      <c r="C260" s="218" t="s">
        <v>10</v>
      </c>
      <c r="D260" s="3">
        <v>2016</v>
      </c>
      <c r="E260" s="3">
        <v>2018</v>
      </c>
      <c r="F260" s="219" t="s">
        <v>182</v>
      </c>
      <c r="G260" s="35">
        <v>3500</v>
      </c>
      <c r="H260" s="35">
        <v>3500</v>
      </c>
      <c r="I260" s="220">
        <v>2545</v>
      </c>
      <c r="J260" s="220">
        <f t="shared" si="24"/>
        <v>2545</v>
      </c>
      <c r="K260" s="204">
        <v>605</v>
      </c>
      <c r="L260" s="36" t="s">
        <v>876</v>
      </c>
      <c r="M260" s="221"/>
      <c r="N260" s="227"/>
      <c r="O260" s="222"/>
      <c r="P260" s="172">
        <f t="shared" si="21"/>
        <v>3150</v>
      </c>
      <c r="Q260" s="172">
        <f t="shared" si="22"/>
        <v>3150</v>
      </c>
      <c r="R260" s="222"/>
      <c r="S260" s="222"/>
      <c r="T260" s="222"/>
      <c r="U260" s="222"/>
      <c r="V260" s="222"/>
      <c r="W260" s="222"/>
      <c r="X260" s="222"/>
      <c r="Y260" s="222"/>
      <c r="Z260" s="222"/>
      <c r="AA260" s="222"/>
      <c r="AB260" s="222"/>
      <c r="AC260" s="222"/>
      <c r="AD260" s="222"/>
      <c r="AE260" s="222"/>
      <c r="AF260" s="222"/>
      <c r="AG260" s="222"/>
      <c r="AH260" s="222"/>
      <c r="AI260" s="222"/>
      <c r="AJ260" s="222"/>
      <c r="AK260" s="222"/>
      <c r="AL260" s="222"/>
      <c r="AM260" s="222"/>
      <c r="AN260" s="222"/>
      <c r="AO260" s="222"/>
      <c r="AP260" s="222"/>
      <c r="AQ260" s="222"/>
      <c r="AR260" s="222"/>
      <c r="AS260" s="222"/>
      <c r="AT260" s="222"/>
      <c r="AU260" s="222"/>
      <c r="AV260" s="222"/>
      <c r="AW260" s="222"/>
      <c r="AX260" s="222"/>
      <c r="AY260" s="222"/>
      <c r="AZ260" s="222"/>
      <c r="BA260" s="222"/>
      <c r="BB260" s="222"/>
      <c r="BC260" s="222"/>
      <c r="BD260" s="222"/>
      <c r="BE260" s="222"/>
      <c r="BF260" s="222"/>
      <c r="BG260" s="222"/>
      <c r="BH260" s="222"/>
      <c r="BI260" s="222"/>
      <c r="BJ260" s="222"/>
      <c r="BK260" s="222"/>
      <c r="BL260" s="222"/>
      <c r="BM260" s="222"/>
      <c r="BN260" s="222"/>
      <c r="BO260" s="222"/>
      <c r="BP260" s="222"/>
      <c r="BQ260" s="222"/>
      <c r="BR260" s="222"/>
      <c r="BS260" s="222"/>
      <c r="BT260" s="222"/>
      <c r="BU260" s="222"/>
      <c r="BV260" s="222"/>
      <c r="BW260" s="222"/>
      <c r="BX260" s="222"/>
      <c r="BY260" s="222"/>
      <c r="BZ260" s="222"/>
      <c r="CA260" s="222"/>
      <c r="CB260" s="222"/>
      <c r="CC260" s="222"/>
      <c r="CD260" s="222"/>
      <c r="CE260" s="222"/>
      <c r="CF260" s="222"/>
      <c r="CG260" s="222"/>
      <c r="CH260" s="222"/>
      <c r="CI260" s="222"/>
      <c r="CJ260" s="222"/>
      <c r="CK260" s="222"/>
      <c r="CL260" s="222"/>
      <c r="CM260" s="222"/>
      <c r="CN260" s="222"/>
      <c r="CO260" s="222"/>
      <c r="CP260" s="222"/>
      <c r="CQ260" s="222"/>
      <c r="CR260" s="222"/>
      <c r="CS260" s="222"/>
      <c r="CT260" s="222"/>
      <c r="CU260" s="222"/>
      <c r="CV260" s="222"/>
      <c r="CW260" s="222"/>
      <c r="CX260" s="222"/>
      <c r="CY260" s="222"/>
      <c r="CZ260" s="222"/>
      <c r="DA260" s="222"/>
      <c r="DB260" s="222"/>
      <c r="DC260" s="222"/>
      <c r="DD260" s="222"/>
      <c r="DE260" s="222"/>
      <c r="DF260" s="222"/>
      <c r="DG260" s="222"/>
      <c r="DH260" s="222"/>
      <c r="DI260" s="222"/>
      <c r="DJ260" s="222"/>
      <c r="DK260" s="222"/>
      <c r="DL260" s="222"/>
      <c r="DM260" s="222"/>
      <c r="DN260" s="222"/>
      <c r="DO260" s="222"/>
      <c r="DP260" s="222"/>
      <c r="DQ260" s="222"/>
      <c r="DR260" s="222"/>
      <c r="DS260" s="222"/>
      <c r="DT260" s="222"/>
      <c r="DU260" s="222"/>
      <c r="DV260" s="222"/>
      <c r="DW260" s="222"/>
      <c r="DX260" s="222"/>
      <c r="DY260" s="222"/>
      <c r="DZ260" s="222"/>
      <c r="EA260" s="222"/>
      <c r="EB260" s="222"/>
      <c r="EC260" s="222"/>
      <c r="ED260" s="222"/>
      <c r="EE260" s="222"/>
      <c r="EF260" s="222"/>
      <c r="EG260" s="222"/>
      <c r="EH260" s="222"/>
      <c r="EI260" s="222"/>
      <c r="EJ260" s="222"/>
      <c r="EK260" s="222"/>
      <c r="EL260" s="222"/>
      <c r="EM260" s="222"/>
      <c r="EN260" s="222"/>
      <c r="EO260" s="222"/>
      <c r="EP260" s="222"/>
      <c r="EQ260" s="222"/>
      <c r="ER260" s="222"/>
      <c r="ES260" s="222"/>
      <c r="ET260" s="222"/>
      <c r="EU260" s="222"/>
      <c r="EV260" s="222"/>
      <c r="EW260" s="222"/>
      <c r="EX260" s="222"/>
      <c r="EY260" s="222"/>
      <c r="EZ260" s="222"/>
      <c r="FA260" s="222"/>
      <c r="FB260" s="222"/>
      <c r="FC260" s="222"/>
      <c r="FD260" s="222"/>
      <c r="FE260" s="222"/>
      <c r="FF260" s="222"/>
      <c r="FG260" s="222"/>
      <c r="FH260" s="222"/>
      <c r="FI260" s="222"/>
      <c r="FJ260" s="222"/>
      <c r="FK260" s="222"/>
      <c r="FL260" s="222"/>
      <c r="FM260" s="222"/>
      <c r="FN260" s="222"/>
      <c r="FO260" s="222"/>
      <c r="FP260" s="222"/>
      <c r="FQ260" s="222"/>
      <c r="FR260" s="222"/>
      <c r="FS260" s="222"/>
      <c r="FT260" s="222"/>
      <c r="FU260" s="222"/>
      <c r="FV260" s="222"/>
      <c r="FW260" s="222"/>
      <c r="FX260" s="222"/>
      <c r="FY260" s="222"/>
      <c r="FZ260" s="222"/>
      <c r="GA260" s="222"/>
      <c r="GB260" s="222"/>
      <c r="GC260" s="222"/>
      <c r="GD260" s="222"/>
      <c r="GE260" s="222"/>
      <c r="GF260" s="222"/>
      <c r="GG260" s="222"/>
      <c r="GH260" s="222"/>
      <c r="GI260" s="222"/>
      <c r="GJ260" s="222"/>
      <c r="GK260" s="222"/>
      <c r="GL260" s="222"/>
      <c r="GM260" s="222"/>
      <c r="GN260" s="222"/>
      <c r="GO260" s="222"/>
      <c r="GP260" s="222"/>
      <c r="GQ260" s="222"/>
      <c r="GR260" s="222"/>
      <c r="GS260" s="222"/>
      <c r="GT260" s="222"/>
      <c r="GU260" s="222"/>
      <c r="GV260" s="222"/>
      <c r="GW260" s="222"/>
      <c r="GX260" s="222"/>
      <c r="GY260" s="222"/>
      <c r="GZ260" s="222"/>
      <c r="HA260" s="222"/>
      <c r="HB260" s="222"/>
      <c r="HC260" s="222"/>
      <c r="HD260" s="222"/>
      <c r="HE260" s="222"/>
      <c r="HF260" s="222"/>
      <c r="HG260" s="222"/>
      <c r="HH260" s="222"/>
      <c r="HI260" s="222"/>
      <c r="HJ260" s="222"/>
      <c r="HK260" s="222"/>
      <c r="HL260" s="222"/>
      <c r="HM260" s="222"/>
      <c r="HN260" s="222"/>
      <c r="HO260" s="222"/>
      <c r="HP260" s="222"/>
      <c r="HQ260" s="222"/>
      <c r="HR260" s="222"/>
      <c r="HS260" s="222"/>
      <c r="HT260" s="222"/>
      <c r="HU260" s="222"/>
      <c r="HV260" s="222"/>
      <c r="HW260" s="222"/>
    </row>
    <row r="261" spans="1:231" s="222" customFormat="1" ht="25.5">
      <c r="A261" s="10">
        <v>4</v>
      </c>
      <c r="B261" s="55" t="s">
        <v>179</v>
      </c>
      <c r="C261" s="229" t="s">
        <v>46</v>
      </c>
      <c r="D261" s="3">
        <v>2016</v>
      </c>
      <c r="E261" s="3">
        <v>2018</v>
      </c>
      <c r="F261" s="219" t="s">
        <v>180</v>
      </c>
      <c r="G261" s="220">
        <v>2500</v>
      </c>
      <c r="H261" s="220">
        <v>2500</v>
      </c>
      <c r="I261" s="220">
        <v>1605</v>
      </c>
      <c r="J261" s="220">
        <f t="shared" si="24"/>
        <v>1605</v>
      </c>
      <c r="K261" s="11">
        <v>645</v>
      </c>
      <c r="L261" s="11" t="s">
        <v>864</v>
      </c>
      <c r="M261" s="173"/>
      <c r="P261" s="172">
        <f t="shared" si="21"/>
        <v>2250</v>
      </c>
      <c r="Q261" s="172">
        <f t="shared" si="22"/>
        <v>2250</v>
      </c>
    </row>
    <row r="262" spans="1:231" s="222" customFormat="1" ht="31.5">
      <c r="A262" s="10">
        <v>5</v>
      </c>
      <c r="B262" s="62" t="s">
        <v>171</v>
      </c>
      <c r="C262" s="2" t="s">
        <v>33</v>
      </c>
      <c r="D262" s="3">
        <v>2016</v>
      </c>
      <c r="E262" s="3">
        <v>2018</v>
      </c>
      <c r="F262" s="224" t="s">
        <v>172</v>
      </c>
      <c r="G262" s="11">
        <v>3000</v>
      </c>
      <c r="H262" s="11">
        <v>3000</v>
      </c>
      <c r="I262" s="220">
        <v>1982</v>
      </c>
      <c r="J262" s="220">
        <f t="shared" si="24"/>
        <v>1982</v>
      </c>
      <c r="K262" s="204">
        <v>718</v>
      </c>
      <c r="L262" s="36" t="s">
        <v>1040</v>
      </c>
      <c r="M262" s="221"/>
      <c r="N262" s="225"/>
      <c r="O262" s="225"/>
      <c r="P262" s="172">
        <f t="shared" si="21"/>
        <v>2700</v>
      </c>
      <c r="Q262" s="172">
        <f t="shared" si="22"/>
        <v>2700</v>
      </c>
      <c r="R262" s="225"/>
      <c r="S262" s="225"/>
      <c r="T262" s="225"/>
      <c r="U262" s="225"/>
      <c r="V262" s="225"/>
      <c r="W262" s="225"/>
      <c r="X262" s="225"/>
      <c r="Y262" s="225"/>
      <c r="Z262" s="225"/>
      <c r="AA262" s="225"/>
      <c r="AB262" s="225"/>
      <c r="AC262" s="225"/>
      <c r="AD262" s="225"/>
      <c r="AE262" s="225"/>
      <c r="AF262" s="225"/>
      <c r="AG262" s="225"/>
      <c r="AH262" s="225"/>
      <c r="AI262" s="225"/>
      <c r="AJ262" s="225"/>
      <c r="AK262" s="225"/>
      <c r="AL262" s="225"/>
      <c r="AM262" s="225"/>
      <c r="AN262" s="225"/>
      <c r="AO262" s="225"/>
      <c r="AP262" s="225"/>
      <c r="AQ262" s="225"/>
      <c r="AR262" s="225"/>
      <c r="AS262" s="225"/>
      <c r="AT262" s="225"/>
      <c r="AU262" s="225"/>
      <c r="AV262" s="225"/>
      <c r="AW262" s="225"/>
      <c r="AX262" s="225"/>
      <c r="AY262" s="225"/>
      <c r="AZ262" s="225"/>
      <c r="BA262" s="225"/>
      <c r="BB262" s="225"/>
      <c r="BC262" s="225"/>
      <c r="BD262" s="225"/>
      <c r="BE262" s="225"/>
      <c r="BF262" s="225"/>
      <c r="BG262" s="225"/>
      <c r="BH262" s="225"/>
      <c r="BI262" s="225"/>
      <c r="BJ262" s="225"/>
      <c r="BK262" s="225"/>
      <c r="BL262" s="225"/>
      <c r="BM262" s="225"/>
      <c r="BN262" s="225"/>
      <c r="BO262" s="225"/>
      <c r="BP262" s="225"/>
      <c r="BQ262" s="225"/>
      <c r="BR262" s="225"/>
      <c r="BS262" s="225"/>
      <c r="BT262" s="225"/>
      <c r="BU262" s="225"/>
      <c r="BV262" s="225"/>
      <c r="BW262" s="225"/>
      <c r="BX262" s="225"/>
      <c r="BY262" s="225"/>
      <c r="BZ262" s="225"/>
      <c r="CA262" s="225"/>
      <c r="CB262" s="225"/>
      <c r="CC262" s="225"/>
      <c r="CD262" s="225"/>
      <c r="CE262" s="225"/>
      <c r="CF262" s="225"/>
      <c r="CG262" s="225"/>
      <c r="CH262" s="225"/>
      <c r="CI262" s="225"/>
      <c r="CJ262" s="225"/>
      <c r="CK262" s="225"/>
      <c r="CL262" s="225"/>
      <c r="CM262" s="225"/>
      <c r="CN262" s="225"/>
      <c r="CO262" s="225"/>
      <c r="CP262" s="225"/>
      <c r="CQ262" s="225"/>
      <c r="CR262" s="225"/>
      <c r="CS262" s="225"/>
      <c r="CT262" s="225"/>
      <c r="CU262" s="225"/>
      <c r="CV262" s="225"/>
      <c r="CW262" s="225"/>
      <c r="CX262" s="225"/>
      <c r="CY262" s="225"/>
      <c r="CZ262" s="225"/>
      <c r="DA262" s="225"/>
      <c r="DB262" s="225"/>
      <c r="DC262" s="225"/>
      <c r="DD262" s="225"/>
      <c r="DE262" s="225"/>
      <c r="DF262" s="225"/>
      <c r="DG262" s="225"/>
      <c r="DH262" s="225"/>
      <c r="DI262" s="225"/>
      <c r="DJ262" s="225"/>
      <c r="DK262" s="225"/>
      <c r="DL262" s="225"/>
      <c r="DM262" s="225"/>
      <c r="DN262" s="225"/>
      <c r="DO262" s="225"/>
      <c r="DP262" s="225"/>
      <c r="DQ262" s="225"/>
      <c r="DR262" s="225"/>
      <c r="DS262" s="225"/>
      <c r="DT262" s="225"/>
      <c r="DU262" s="225"/>
      <c r="DV262" s="225"/>
      <c r="DW262" s="225"/>
      <c r="DX262" s="225"/>
      <c r="DY262" s="225"/>
      <c r="DZ262" s="225"/>
      <c r="EA262" s="225"/>
      <c r="EB262" s="225"/>
      <c r="EC262" s="225"/>
      <c r="ED262" s="225"/>
      <c r="EE262" s="225"/>
      <c r="EF262" s="225"/>
      <c r="EG262" s="225"/>
      <c r="EH262" s="225"/>
      <c r="EI262" s="225"/>
      <c r="EJ262" s="225"/>
      <c r="EK262" s="225"/>
      <c r="EL262" s="225"/>
      <c r="EM262" s="225"/>
      <c r="EN262" s="225"/>
      <c r="EO262" s="225"/>
      <c r="EP262" s="225"/>
      <c r="EQ262" s="225"/>
      <c r="ER262" s="225"/>
      <c r="ES262" s="225"/>
      <c r="ET262" s="225"/>
      <c r="EU262" s="225"/>
      <c r="EV262" s="225"/>
      <c r="EW262" s="225"/>
      <c r="EX262" s="225"/>
      <c r="EY262" s="225"/>
      <c r="EZ262" s="225"/>
      <c r="FA262" s="225"/>
      <c r="FB262" s="225"/>
      <c r="FC262" s="225"/>
      <c r="FD262" s="225"/>
      <c r="FE262" s="225"/>
      <c r="FF262" s="225"/>
      <c r="FG262" s="225"/>
      <c r="FH262" s="225"/>
      <c r="FI262" s="225"/>
      <c r="FJ262" s="225"/>
      <c r="FK262" s="225"/>
      <c r="FL262" s="225"/>
      <c r="FM262" s="225"/>
      <c r="FN262" s="225"/>
      <c r="FO262" s="225"/>
      <c r="FP262" s="225"/>
      <c r="FQ262" s="225"/>
      <c r="FR262" s="225"/>
      <c r="FS262" s="225"/>
      <c r="FT262" s="225"/>
      <c r="FU262" s="225"/>
      <c r="FV262" s="225"/>
      <c r="FW262" s="225"/>
      <c r="FX262" s="225"/>
      <c r="FY262" s="225"/>
      <c r="FZ262" s="225"/>
      <c r="GA262" s="225"/>
      <c r="GB262" s="225"/>
      <c r="GC262" s="225"/>
      <c r="GD262" s="225"/>
      <c r="GE262" s="225"/>
      <c r="GF262" s="225"/>
      <c r="GG262" s="225"/>
      <c r="GH262" s="225"/>
      <c r="GI262" s="225"/>
      <c r="GJ262" s="225"/>
      <c r="GK262" s="225"/>
      <c r="GL262" s="225"/>
      <c r="GM262" s="225"/>
      <c r="GN262" s="225"/>
      <c r="GO262" s="225"/>
      <c r="GP262" s="225"/>
      <c r="GQ262" s="225"/>
      <c r="GR262" s="225"/>
      <c r="GS262" s="225"/>
      <c r="GT262" s="225"/>
      <c r="GU262" s="225"/>
      <c r="GV262" s="225"/>
      <c r="GW262" s="225"/>
      <c r="GX262" s="225"/>
      <c r="GY262" s="225"/>
      <c r="GZ262" s="225"/>
      <c r="HA262" s="225"/>
      <c r="HB262" s="225"/>
      <c r="HC262" s="225"/>
      <c r="HD262" s="225"/>
      <c r="HE262" s="225"/>
      <c r="HF262" s="225"/>
      <c r="HG262" s="225"/>
      <c r="HH262" s="225"/>
      <c r="HI262" s="225"/>
      <c r="HJ262" s="225"/>
      <c r="HK262" s="225"/>
      <c r="HL262" s="225"/>
      <c r="HM262" s="225"/>
      <c r="HN262" s="225"/>
      <c r="HO262" s="225"/>
      <c r="HP262" s="225"/>
      <c r="HQ262" s="225"/>
      <c r="HR262" s="225"/>
      <c r="HS262" s="225"/>
      <c r="HT262" s="225"/>
      <c r="HU262" s="225"/>
      <c r="HV262" s="225"/>
      <c r="HW262" s="225"/>
    </row>
    <row r="263" spans="1:231" s="222" customFormat="1" ht="31.5">
      <c r="A263" s="10">
        <v>6</v>
      </c>
      <c r="B263" s="55" t="s">
        <v>230</v>
      </c>
      <c r="C263" s="218" t="s">
        <v>26</v>
      </c>
      <c r="D263" s="3">
        <v>2016</v>
      </c>
      <c r="E263" s="3">
        <v>2018</v>
      </c>
      <c r="F263" s="219" t="s">
        <v>349</v>
      </c>
      <c r="G263" s="220">
        <v>2998</v>
      </c>
      <c r="H263" s="220">
        <v>2998</v>
      </c>
      <c r="I263" s="220">
        <v>1963</v>
      </c>
      <c r="J263" s="220">
        <f t="shared" si="24"/>
        <v>1963</v>
      </c>
      <c r="K263" s="204">
        <v>735</v>
      </c>
      <c r="L263" s="36" t="s">
        <v>1041</v>
      </c>
      <c r="M263" s="221"/>
      <c r="P263" s="172">
        <f t="shared" si="21"/>
        <v>2698</v>
      </c>
      <c r="Q263" s="172">
        <f t="shared" si="22"/>
        <v>2698</v>
      </c>
    </row>
    <row r="264" spans="1:231" s="222" customFormat="1" ht="31.5">
      <c r="A264" s="10">
        <v>7</v>
      </c>
      <c r="B264" s="55" t="s">
        <v>226</v>
      </c>
      <c r="C264" s="218" t="s">
        <v>26</v>
      </c>
      <c r="D264" s="3">
        <v>2016</v>
      </c>
      <c r="E264" s="3">
        <v>2018</v>
      </c>
      <c r="F264" s="219" t="s">
        <v>227</v>
      </c>
      <c r="G264" s="220">
        <v>3000</v>
      </c>
      <c r="H264" s="220">
        <v>3000</v>
      </c>
      <c r="I264" s="220">
        <v>1953</v>
      </c>
      <c r="J264" s="220">
        <f t="shared" si="24"/>
        <v>1953</v>
      </c>
      <c r="K264" s="204">
        <v>747</v>
      </c>
      <c r="L264" s="36" t="s">
        <v>938</v>
      </c>
      <c r="M264" s="221"/>
      <c r="P264" s="172">
        <f t="shared" si="21"/>
        <v>2700</v>
      </c>
      <c r="Q264" s="172">
        <f t="shared" si="22"/>
        <v>2700</v>
      </c>
    </row>
    <row r="265" spans="1:231" s="225" customFormat="1" ht="31.5">
      <c r="A265" s="10">
        <v>8</v>
      </c>
      <c r="B265" s="62" t="s">
        <v>208</v>
      </c>
      <c r="C265" s="228" t="s">
        <v>17</v>
      </c>
      <c r="D265" s="3">
        <v>2016</v>
      </c>
      <c r="E265" s="3">
        <v>2018</v>
      </c>
      <c r="F265" s="224" t="s">
        <v>209</v>
      </c>
      <c r="G265" s="35">
        <v>3230</v>
      </c>
      <c r="H265" s="35">
        <v>3230</v>
      </c>
      <c r="I265" s="35">
        <v>2125</v>
      </c>
      <c r="J265" s="35">
        <f t="shared" si="24"/>
        <v>2125</v>
      </c>
      <c r="K265" s="204">
        <v>782</v>
      </c>
      <c r="L265" s="36" t="s">
        <v>871</v>
      </c>
      <c r="M265" s="221"/>
      <c r="N265" s="230"/>
      <c r="P265" s="172">
        <f t="shared" si="21"/>
        <v>2907</v>
      </c>
      <c r="Q265" s="172">
        <f t="shared" si="22"/>
        <v>2907</v>
      </c>
    </row>
    <row r="266" spans="1:231" s="222" customFormat="1" ht="25.5">
      <c r="A266" s="10">
        <v>9</v>
      </c>
      <c r="B266" s="62" t="s">
        <v>1042</v>
      </c>
      <c r="C266" s="229" t="s">
        <v>49</v>
      </c>
      <c r="D266" s="3">
        <v>2016</v>
      </c>
      <c r="E266" s="3">
        <v>2018</v>
      </c>
      <c r="F266" s="224" t="s">
        <v>184</v>
      </c>
      <c r="G266" s="220">
        <v>2815</v>
      </c>
      <c r="H266" s="220">
        <v>2815</v>
      </c>
      <c r="I266" s="220">
        <v>1745</v>
      </c>
      <c r="J266" s="220">
        <f t="shared" si="24"/>
        <v>1745</v>
      </c>
      <c r="K266" s="204">
        <v>789</v>
      </c>
      <c r="L266" s="36" t="s">
        <v>1043</v>
      </c>
      <c r="M266" s="221"/>
      <c r="N266" s="230"/>
      <c r="O266" s="225"/>
      <c r="P266" s="172">
        <f t="shared" si="21"/>
        <v>2534</v>
      </c>
      <c r="Q266" s="172">
        <f t="shared" si="22"/>
        <v>2534</v>
      </c>
      <c r="R266" s="225"/>
      <c r="S266" s="225"/>
      <c r="T266" s="225"/>
      <c r="U266" s="225"/>
      <c r="V266" s="225"/>
      <c r="W266" s="225"/>
      <c r="X266" s="225"/>
      <c r="Y266" s="225"/>
      <c r="Z266" s="225"/>
      <c r="AA266" s="225"/>
      <c r="AB266" s="225"/>
      <c r="AC266" s="225"/>
      <c r="AD266" s="225"/>
      <c r="AE266" s="225"/>
      <c r="AF266" s="225"/>
      <c r="AG266" s="225"/>
      <c r="AH266" s="225"/>
      <c r="AI266" s="225"/>
      <c r="AJ266" s="225"/>
      <c r="AK266" s="225"/>
      <c r="AL266" s="225"/>
      <c r="AM266" s="225"/>
      <c r="AN266" s="225"/>
      <c r="AO266" s="225"/>
      <c r="AP266" s="225"/>
      <c r="AQ266" s="225"/>
      <c r="AR266" s="225"/>
      <c r="AS266" s="225"/>
      <c r="AT266" s="225"/>
      <c r="AU266" s="225"/>
      <c r="AV266" s="225"/>
      <c r="AW266" s="225"/>
      <c r="AX266" s="225"/>
      <c r="AY266" s="225"/>
      <c r="AZ266" s="225"/>
      <c r="BA266" s="225"/>
      <c r="BB266" s="225"/>
      <c r="BC266" s="225"/>
      <c r="BD266" s="225"/>
      <c r="BE266" s="225"/>
      <c r="BF266" s="225"/>
      <c r="BG266" s="225"/>
      <c r="BH266" s="225"/>
      <c r="BI266" s="225"/>
      <c r="BJ266" s="225"/>
      <c r="BK266" s="225"/>
      <c r="BL266" s="225"/>
      <c r="BM266" s="225"/>
      <c r="BN266" s="225"/>
      <c r="BO266" s="225"/>
      <c r="BP266" s="225"/>
      <c r="BQ266" s="225"/>
      <c r="BR266" s="225"/>
      <c r="BS266" s="225"/>
      <c r="BT266" s="225"/>
      <c r="BU266" s="225"/>
      <c r="BV266" s="225"/>
      <c r="BW266" s="225"/>
      <c r="BX266" s="225"/>
      <c r="BY266" s="225"/>
      <c r="BZ266" s="225"/>
      <c r="CA266" s="225"/>
      <c r="CB266" s="225"/>
      <c r="CC266" s="225"/>
      <c r="CD266" s="225"/>
      <c r="CE266" s="225"/>
      <c r="CF266" s="225"/>
      <c r="CG266" s="225"/>
      <c r="CH266" s="225"/>
      <c r="CI266" s="225"/>
      <c r="CJ266" s="225"/>
      <c r="CK266" s="225"/>
      <c r="CL266" s="225"/>
      <c r="CM266" s="225"/>
      <c r="CN266" s="225"/>
      <c r="CO266" s="225"/>
      <c r="CP266" s="225"/>
      <c r="CQ266" s="225"/>
      <c r="CR266" s="225"/>
      <c r="CS266" s="225"/>
      <c r="CT266" s="225"/>
      <c r="CU266" s="225"/>
      <c r="CV266" s="225"/>
      <c r="CW266" s="225"/>
      <c r="CX266" s="225"/>
      <c r="CY266" s="225"/>
      <c r="CZ266" s="225"/>
      <c r="DA266" s="225"/>
      <c r="DB266" s="225"/>
      <c r="DC266" s="225"/>
      <c r="DD266" s="225"/>
      <c r="DE266" s="225"/>
      <c r="DF266" s="225"/>
      <c r="DG266" s="225"/>
      <c r="DH266" s="225"/>
      <c r="DI266" s="225"/>
      <c r="DJ266" s="225"/>
      <c r="DK266" s="225"/>
      <c r="DL266" s="225"/>
      <c r="DM266" s="225"/>
      <c r="DN266" s="225"/>
      <c r="DO266" s="225"/>
      <c r="DP266" s="225"/>
      <c r="DQ266" s="225"/>
      <c r="DR266" s="225"/>
      <c r="DS266" s="225"/>
      <c r="DT266" s="225"/>
      <c r="DU266" s="225"/>
      <c r="DV266" s="225"/>
      <c r="DW266" s="225"/>
      <c r="DX266" s="225"/>
      <c r="DY266" s="225"/>
      <c r="DZ266" s="225"/>
      <c r="EA266" s="225"/>
      <c r="EB266" s="225"/>
      <c r="EC266" s="225"/>
      <c r="ED266" s="225"/>
      <c r="EE266" s="225"/>
      <c r="EF266" s="225"/>
      <c r="EG266" s="225"/>
      <c r="EH266" s="225"/>
      <c r="EI266" s="225"/>
      <c r="EJ266" s="225"/>
      <c r="EK266" s="225"/>
      <c r="EL266" s="225"/>
      <c r="EM266" s="225"/>
      <c r="EN266" s="225"/>
      <c r="EO266" s="225"/>
      <c r="EP266" s="225"/>
      <c r="EQ266" s="225"/>
      <c r="ER266" s="225"/>
      <c r="ES266" s="225"/>
      <c r="ET266" s="225"/>
      <c r="EU266" s="225"/>
      <c r="EV266" s="225"/>
      <c r="EW266" s="225"/>
      <c r="EX266" s="225"/>
      <c r="EY266" s="225"/>
      <c r="EZ266" s="225"/>
      <c r="FA266" s="225"/>
      <c r="FB266" s="225"/>
      <c r="FC266" s="225"/>
      <c r="FD266" s="225"/>
      <c r="FE266" s="225"/>
      <c r="FF266" s="225"/>
      <c r="FG266" s="225"/>
      <c r="FH266" s="225"/>
      <c r="FI266" s="225"/>
      <c r="FJ266" s="225"/>
      <c r="FK266" s="225"/>
      <c r="FL266" s="225"/>
      <c r="FM266" s="225"/>
      <c r="FN266" s="225"/>
      <c r="FO266" s="225"/>
      <c r="FP266" s="225"/>
      <c r="FQ266" s="225"/>
      <c r="FR266" s="225"/>
      <c r="FS266" s="225"/>
      <c r="FT266" s="225"/>
      <c r="FU266" s="225"/>
      <c r="FV266" s="225"/>
      <c r="FW266" s="225"/>
      <c r="FX266" s="225"/>
      <c r="FY266" s="225"/>
      <c r="FZ266" s="225"/>
      <c r="GA266" s="225"/>
      <c r="GB266" s="225"/>
      <c r="GC266" s="225"/>
      <c r="GD266" s="225"/>
      <c r="GE266" s="225"/>
      <c r="GF266" s="225"/>
      <c r="GG266" s="225"/>
      <c r="GH266" s="225"/>
      <c r="GI266" s="225"/>
      <c r="GJ266" s="225"/>
      <c r="GK266" s="225"/>
      <c r="GL266" s="225"/>
      <c r="GM266" s="225"/>
      <c r="GN266" s="225"/>
      <c r="GO266" s="225"/>
      <c r="GP266" s="225"/>
      <c r="GQ266" s="225"/>
      <c r="GR266" s="225"/>
      <c r="GS266" s="225"/>
      <c r="GT266" s="225"/>
      <c r="GU266" s="225"/>
      <c r="GV266" s="225"/>
      <c r="GW266" s="225"/>
      <c r="GX266" s="225"/>
      <c r="GY266" s="225"/>
      <c r="GZ266" s="225"/>
      <c r="HA266" s="225"/>
      <c r="HB266" s="225"/>
      <c r="HC266" s="225"/>
      <c r="HD266" s="225"/>
      <c r="HE266" s="225"/>
      <c r="HF266" s="225"/>
      <c r="HG266" s="225"/>
      <c r="HH266" s="225"/>
      <c r="HI266" s="225"/>
      <c r="HJ266" s="225"/>
      <c r="HK266" s="225"/>
      <c r="HL266" s="225"/>
      <c r="HM266" s="225"/>
      <c r="HN266" s="225"/>
      <c r="HO266" s="225"/>
      <c r="HP266" s="225"/>
      <c r="HQ266" s="225"/>
      <c r="HR266" s="225"/>
      <c r="HS266" s="225"/>
      <c r="HT266" s="225"/>
      <c r="HU266" s="225"/>
      <c r="HV266" s="225"/>
      <c r="HW266" s="225"/>
    </row>
    <row r="267" spans="1:231" s="225" customFormat="1" ht="31.5">
      <c r="A267" s="10">
        <v>10</v>
      </c>
      <c r="B267" s="55" t="s">
        <v>210</v>
      </c>
      <c r="C267" s="2" t="s">
        <v>33</v>
      </c>
      <c r="D267" s="3">
        <v>2016</v>
      </c>
      <c r="E267" s="3">
        <v>2018</v>
      </c>
      <c r="F267" s="219" t="s">
        <v>211</v>
      </c>
      <c r="G267" s="35">
        <v>3200</v>
      </c>
      <c r="H267" s="35">
        <v>3200</v>
      </c>
      <c r="I267" s="35">
        <v>2080</v>
      </c>
      <c r="J267" s="35">
        <f t="shared" si="24"/>
        <v>2080</v>
      </c>
      <c r="K267" s="204">
        <v>800</v>
      </c>
      <c r="L267" s="36" t="s">
        <v>1044</v>
      </c>
      <c r="M267" s="221"/>
      <c r="N267" s="222"/>
      <c r="O267" s="222"/>
      <c r="P267" s="172">
        <f t="shared" si="21"/>
        <v>2880</v>
      </c>
      <c r="Q267" s="172">
        <f t="shared" si="22"/>
        <v>2880</v>
      </c>
      <c r="R267" s="222"/>
      <c r="S267" s="222"/>
      <c r="T267" s="222"/>
      <c r="U267" s="222"/>
      <c r="V267" s="222"/>
      <c r="W267" s="222"/>
      <c r="X267" s="222"/>
      <c r="Y267" s="222"/>
      <c r="Z267" s="222"/>
      <c r="AA267" s="222"/>
      <c r="AB267" s="222"/>
      <c r="AC267" s="222"/>
      <c r="AD267" s="222"/>
      <c r="AE267" s="222"/>
      <c r="AF267" s="222"/>
      <c r="AG267" s="222"/>
      <c r="AH267" s="222"/>
      <c r="AI267" s="222"/>
      <c r="AJ267" s="222"/>
      <c r="AK267" s="222"/>
      <c r="AL267" s="222"/>
      <c r="AM267" s="222"/>
      <c r="AN267" s="222"/>
      <c r="AO267" s="222"/>
      <c r="AP267" s="222"/>
      <c r="AQ267" s="222"/>
      <c r="AR267" s="222"/>
      <c r="AS267" s="222"/>
      <c r="AT267" s="222"/>
      <c r="AU267" s="222"/>
      <c r="AV267" s="222"/>
      <c r="AW267" s="222"/>
      <c r="AX267" s="222"/>
      <c r="AY267" s="222"/>
      <c r="AZ267" s="222"/>
      <c r="BA267" s="222"/>
      <c r="BB267" s="222"/>
      <c r="BC267" s="222"/>
      <c r="BD267" s="222"/>
      <c r="BE267" s="222"/>
      <c r="BF267" s="222"/>
      <c r="BG267" s="222"/>
      <c r="BH267" s="222"/>
      <c r="BI267" s="222"/>
      <c r="BJ267" s="222"/>
      <c r="BK267" s="222"/>
      <c r="BL267" s="222"/>
      <c r="BM267" s="222"/>
      <c r="BN267" s="222"/>
      <c r="BO267" s="222"/>
      <c r="BP267" s="222"/>
      <c r="BQ267" s="222"/>
      <c r="BR267" s="222"/>
      <c r="BS267" s="222"/>
      <c r="BT267" s="222"/>
      <c r="BU267" s="222"/>
      <c r="BV267" s="222"/>
      <c r="BW267" s="222"/>
      <c r="BX267" s="222"/>
      <c r="BY267" s="222"/>
      <c r="BZ267" s="222"/>
      <c r="CA267" s="222"/>
      <c r="CB267" s="222"/>
      <c r="CC267" s="222"/>
      <c r="CD267" s="222"/>
      <c r="CE267" s="222"/>
      <c r="CF267" s="222"/>
      <c r="CG267" s="222"/>
      <c r="CH267" s="222"/>
      <c r="CI267" s="222"/>
      <c r="CJ267" s="222"/>
      <c r="CK267" s="222"/>
      <c r="CL267" s="222"/>
      <c r="CM267" s="222"/>
      <c r="CN267" s="222"/>
      <c r="CO267" s="222"/>
      <c r="CP267" s="222"/>
      <c r="CQ267" s="222"/>
      <c r="CR267" s="222"/>
      <c r="CS267" s="222"/>
      <c r="CT267" s="222"/>
      <c r="CU267" s="222"/>
      <c r="CV267" s="222"/>
      <c r="CW267" s="222"/>
      <c r="CX267" s="222"/>
      <c r="CY267" s="222"/>
      <c r="CZ267" s="222"/>
      <c r="DA267" s="222"/>
      <c r="DB267" s="222"/>
      <c r="DC267" s="222"/>
      <c r="DD267" s="222"/>
      <c r="DE267" s="222"/>
      <c r="DF267" s="222"/>
      <c r="DG267" s="222"/>
      <c r="DH267" s="222"/>
      <c r="DI267" s="222"/>
      <c r="DJ267" s="222"/>
      <c r="DK267" s="222"/>
      <c r="DL267" s="222"/>
      <c r="DM267" s="222"/>
      <c r="DN267" s="222"/>
      <c r="DO267" s="222"/>
      <c r="DP267" s="222"/>
      <c r="DQ267" s="222"/>
      <c r="DR267" s="222"/>
      <c r="DS267" s="222"/>
      <c r="DT267" s="222"/>
      <c r="DU267" s="222"/>
      <c r="DV267" s="222"/>
      <c r="DW267" s="222"/>
      <c r="DX267" s="222"/>
      <c r="DY267" s="222"/>
      <c r="DZ267" s="222"/>
      <c r="EA267" s="222"/>
      <c r="EB267" s="222"/>
      <c r="EC267" s="222"/>
      <c r="ED267" s="222"/>
      <c r="EE267" s="222"/>
      <c r="EF267" s="222"/>
      <c r="EG267" s="222"/>
      <c r="EH267" s="222"/>
      <c r="EI267" s="222"/>
      <c r="EJ267" s="222"/>
      <c r="EK267" s="222"/>
      <c r="EL267" s="222"/>
      <c r="EM267" s="222"/>
      <c r="EN267" s="222"/>
      <c r="EO267" s="222"/>
      <c r="EP267" s="222"/>
      <c r="EQ267" s="222"/>
      <c r="ER267" s="222"/>
      <c r="ES267" s="222"/>
      <c r="ET267" s="222"/>
      <c r="EU267" s="222"/>
      <c r="EV267" s="222"/>
      <c r="EW267" s="222"/>
      <c r="EX267" s="222"/>
      <c r="EY267" s="222"/>
      <c r="EZ267" s="222"/>
      <c r="FA267" s="222"/>
      <c r="FB267" s="222"/>
      <c r="FC267" s="222"/>
      <c r="FD267" s="222"/>
      <c r="FE267" s="222"/>
      <c r="FF267" s="222"/>
      <c r="FG267" s="222"/>
      <c r="FH267" s="222"/>
      <c r="FI267" s="222"/>
      <c r="FJ267" s="222"/>
      <c r="FK267" s="222"/>
      <c r="FL267" s="222"/>
      <c r="FM267" s="222"/>
      <c r="FN267" s="222"/>
      <c r="FO267" s="222"/>
      <c r="FP267" s="222"/>
      <c r="FQ267" s="222"/>
      <c r="FR267" s="222"/>
      <c r="FS267" s="222"/>
      <c r="FT267" s="222"/>
      <c r="FU267" s="222"/>
      <c r="FV267" s="222"/>
      <c r="FW267" s="222"/>
      <c r="FX267" s="222"/>
      <c r="FY267" s="222"/>
      <c r="FZ267" s="222"/>
      <c r="GA267" s="222"/>
      <c r="GB267" s="222"/>
      <c r="GC267" s="222"/>
      <c r="GD267" s="222"/>
      <c r="GE267" s="222"/>
      <c r="GF267" s="222"/>
      <c r="GG267" s="222"/>
      <c r="GH267" s="222"/>
      <c r="GI267" s="222"/>
      <c r="GJ267" s="222"/>
      <c r="GK267" s="222"/>
      <c r="GL267" s="222"/>
      <c r="GM267" s="222"/>
      <c r="GN267" s="222"/>
      <c r="GO267" s="222"/>
      <c r="GP267" s="222"/>
      <c r="GQ267" s="222"/>
      <c r="GR267" s="222"/>
      <c r="GS267" s="222"/>
      <c r="GT267" s="222"/>
      <c r="GU267" s="222"/>
      <c r="GV267" s="222"/>
      <c r="GW267" s="222"/>
      <c r="GX267" s="222"/>
      <c r="GY267" s="222"/>
      <c r="GZ267" s="222"/>
      <c r="HA267" s="222"/>
      <c r="HB267" s="222"/>
      <c r="HC267" s="222"/>
      <c r="HD267" s="222"/>
      <c r="HE267" s="222"/>
      <c r="HF267" s="222"/>
      <c r="HG267" s="222"/>
      <c r="HH267" s="222"/>
      <c r="HI267" s="222"/>
      <c r="HJ267" s="222"/>
      <c r="HK267" s="222"/>
      <c r="HL267" s="222"/>
      <c r="HM267" s="222"/>
      <c r="HN267" s="222"/>
      <c r="HO267" s="222"/>
      <c r="HP267" s="222"/>
      <c r="HQ267" s="222"/>
      <c r="HR267" s="222"/>
      <c r="HS267" s="222"/>
      <c r="HT267" s="222"/>
      <c r="HU267" s="222"/>
      <c r="HV267" s="222"/>
      <c r="HW267" s="222"/>
    </row>
    <row r="268" spans="1:231" s="225" customFormat="1" ht="31.5">
      <c r="A268" s="10">
        <v>11</v>
      </c>
      <c r="B268" s="62" t="s">
        <v>212</v>
      </c>
      <c r="C268" s="229" t="s">
        <v>46</v>
      </c>
      <c r="D268" s="3">
        <v>2016</v>
      </c>
      <c r="E268" s="3">
        <v>2018</v>
      </c>
      <c r="F268" s="224" t="s">
        <v>213</v>
      </c>
      <c r="G268" s="35">
        <v>3200</v>
      </c>
      <c r="H268" s="35">
        <v>3200</v>
      </c>
      <c r="I268" s="35">
        <v>2080</v>
      </c>
      <c r="J268" s="35">
        <f t="shared" si="24"/>
        <v>2080</v>
      </c>
      <c r="K268" s="204">
        <v>800</v>
      </c>
      <c r="L268" s="11" t="s">
        <v>1045</v>
      </c>
      <c r="M268" s="173"/>
      <c r="P268" s="172">
        <f t="shared" si="21"/>
        <v>2880</v>
      </c>
      <c r="Q268" s="172">
        <f t="shared" si="22"/>
        <v>2880</v>
      </c>
    </row>
    <row r="269" spans="1:231" s="225" customFormat="1" ht="31.5">
      <c r="A269" s="10">
        <v>12</v>
      </c>
      <c r="B269" s="62" t="s">
        <v>187</v>
      </c>
      <c r="C269" s="2" t="s">
        <v>33</v>
      </c>
      <c r="D269" s="3">
        <v>2016</v>
      </c>
      <c r="E269" s="3">
        <v>2018</v>
      </c>
      <c r="F269" s="224" t="s">
        <v>188</v>
      </c>
      <c r="G269" s="35">
        <v>4000</v>
      </c>
      <c r="H269" s="35">
        <v>4000</v>
      </c>
      <c r="I269" s="35">
        <v>2550</v>
      </c>
      <c r="J269" s="35">
        <v>2550</v>
      </c>
      <c r="K269" s="11">
        <v>1050</v>
      </c>
      <c r="L269" s="11" t="s">
        <v>1046</v>
      </c>
      <c r="M269" s="173"/>
      <c r="N269" s="223"/>
      <c r="O269" s="223"/>
      <c r="P269" s="172">
        <f t="shared" si="21"/>
        <v>3600</v>
      </c>
      <c r="Q269" s="172">
        <f t="shared" si="22"/>
        <v>3600</v>
      </c>
      <c r="R269" s="223"/>
      <c r="S269" s="223"/>
      <c r="T269" s="223"/>
      <c r="U269" s="223"/>
      <c r="V269" s="223"/>
      <c r="W269" s="223"/>
      <c r="X269" s="223"/>
      <c r="Y269" s="223"/>
      <c r="Z269" s="223"/>
      <c r="AA269" s="223"/>
      <c r="AB269" s="223"/>
      <c r="AC269" s="223"/>
      <c r="AD269" s="223"/>
      <c r="AE269" s="223"/>
      <c r="AF269" s="223"/>
      <c r="AG269" s="223"/>
      <c r="AH269" s="223"/>
      <c r="AI269" s="223"/>
      <c r="AJ269" s="223"/>
      <c r="AK269" s="223"/>
      <c r="AL269" s="223"/>
      <c r="AM269" s="223"/>
      <c r="AN269" s="223"/>
      <c r="AO269" s="223"/>
      <c r="AP269" s="223"/>
      <c r="AQ269" s="223"/>
      <c r="AR269" s="223"/>
      <c r="AS269" s="223"/>
      <c r="AT269" s="223"/>
      <c r="AU269" s="223"/>
      <c r="AV269" s="223"/>
      <c r="AW269" s="223"/>
      <c r="AX269" s="223"/>
      <c r="AY269" s="223"/>
      <c r="AZ269" s="223"/>
      <c r="BA269" s="223"/>
      <c r="BB269" s="223"/>
      <c r="BC269" s="223"/>
      <c r="BD269" s="223"/>
      <c r="BE269" s="223"/>
      <c r="BF269" s="223"/>
      <c r="BG269" s="223"/>
      <c r="BH269" s="223"/>
      <c r="BI269" s="223"/>
      <c r="BJ269" s="223"/>
      <c r="BK269" s="223"/>
      <c r="BL269" s="223"/>
      <c r="BM269" s="223"/>
      <c r="BN269" s="223"/>
      <c r="BO269" s="223"/>
      <c r="BP269" s="223"/>
      <c r="BQ269" s="223"/>
      <c r="BR269" s="223"/>
      <c r="BS269" s="223"/>
      <c r="BT269" s="223"/>
      <c r="BU269" s="223"/>
      <c r="BV269" s="223"/>
      <c r="BW269" s="223"/>
      <c r="BX269" s="223"/>
      <c r="BY269" s="223"/>
      <c r="BZ269" s="223"/>
      <c r="CA269" s="223"/>
      <c r="CB269" s="223"/>
      <c r="CC269" s="223"/>
      <c r="CD269" s="223"/>
      <c r="CE269" s="223"/>
      <c r="CF269" s="223"/>
      <c r="CG269" s="223"/>
      <c r="CH269" s="223"/>
      <c r="CI269" s="223"/>
      <c r="CJ269" s="223"/>
      <c r="CK269" s="223"/>
      <c r="CL269" s="223"/>
      <c r="CM269" s="223"/>
      <c r="CN269" s="223"/>
      <c r="CO269" s="223"/>
      <c r="CP269" s="223"/>
      <c r="CQ269" s="223"/>
      <c r="CR269" s="223"/>
      <c r="CS269" s="223"/>
      <c r="CT269" s="223"/>
      <c r="CU269" s="223"/>
      <c r="CV269" s="223"/>
      <c r="CW269" s="223"/>
      <c r="CX269" s="223"/>
      <c r="CY269" s="223"/>
      <c r="CZ269" s="223"/>
      <c r="DA269" s="223"/>
      <c r="DB269" s="223"/>
      <c r="DC269" s="223"/>
      <c r="DD269" s="223"/>
      <c r="DE269" s="223"/>
      <c r="DF269" s="223"/>
      <c r="DG269" s="223"/>
      <c r="DH269" s="223"/>
      <c r="DI269" s="223"/>
      <c r="DJ269" s="223"/>
      <c r="DK269" s="223"/>
      <c r="DL269" s="223"/>
      <c r="DM269" s="223"/>
      <c r="DN269" s="223"/>
      <c r="DO269" s="223"/>
      <c r="DP269" s="223"/>
      <c r="DQ269" s="223"/>
      <c r="DR269" s="223"/>
      <c r="DS269" s="223"/>
      <c r="DT269" s="223"/>
      <c r="DU269" s="223"/>
      <c r="DV269" s="223"/>
      <c r="DW269" s="223"/>
      <c r="DX269" s="223"/>
      <c r="DY269" s="223"/>
      <c r="DZ269" s="223"/>
      <c r="EA269" s="223"/>
      <c r="EB269" s="223"/>
      <c r="EC269" s="223"/>
      <c r="ED269" s="223"/>
      <c r="EE269" s="223"/>
      <c r="EF269" s="223"/>
      <c r="EG269" s="223"/>
      <c r="EH269" s="223"/>
      <c r="EI269" s="223"/>
      <c r="EJ269" s="223"/>
      <c r="EK269" s="223"/>
      <c r="EL269" s="223"/>
      <c r="EM269" s="223"/>
      <c r="EN269" s="223"/>
      <c r="EO269" s="223"/>
      <c r="EP269" s="223"/>
      <c r="EQ269" s="223"/>
      <c r="ER269" s="223"/>
      <c r="ES269" s="223"/>
      <c r="ET269" s="223"/>
      <c r="EU269" s="223"/>
      <c r="EV269" s="223"/>
      <c r="EW269" s="223"/>
      <c r="EX269" s="223"/>
      <c r="EY269" s="223"/>
      <c r="EZ269" s="223"/>
      <c r="FA269" s="223"/>
      <c r="FB269" s="223"/>
      <c r="FC269" s="223"/>
      <c r="FD269" s="223"/>
      <c r="FE269" s="223"/>
      <c r="FF269" s="223"/>
      <c r="FG269" s="223"/>
      <c r="FH269" s="223"/>
      <c r="FI269" s="223"/>
      <c r="FJ269" s="223"/>
      <c r="FK269" s="223"/>
      <c r="FL269" s="223"/>
      <c r="FM269" s="223"/>
      <c r="FN269" s="223"/>
      <c r="FO269" s="223"/>
      <c r="FP269" s="223"/>
      <c r="FQ269" s="223"/>
      <c r="FR269" s="223"/>
      <c r="FS269" s="223"/>
      <c r="FT269" s="223"/>
      <c r="FU269" s="223"/>
      <c r="FV269" s="223"/>
      <c r="FW269" s="223"/>
      <c r="FX269" s="223"/>
      <c r="FY269" s="223"/>
      <c r="FZ269" s="223"/>
      <c r="GA269" s="223"/>
      <c r="GB269" s="223"/>
      <c r="GC269" s="223"/>
      <c r="GD269" s="223"/>
      <c r="GE269" s="223"/>
      <c r="GF269" s="223"/>
      <c r="GG269" s="223"/>
      <c r="GH269" s="223"/>
      <c r="GI269" s="223"/>
      <c r="GJ269" s="223"/>
      <c r="GK269" s="223"/>
      <c r="GL269" s="223"/>
      <c r="GM269" s="223"/>
      <c r="GN269" s="223"/>
      <c r="GO269" s="223"/>
      <c r="GP269" s="223"/>
      <c r="GQ269" s="223"/>
      <c r="GR269" s="223"/>
      <c r="GS269" s="223"/>
      <c r="GT269" s="223"/>
      <c r="GU269" s="223"/>
      <c r="GV269" s="223"/>
      <c r="GW269" s="223"/>
      <c r="GX269" s="223"/>
      <c r="GY269" s="223"/>
      <c r="GZ269" s="223"/>
      <c r="HA269" s="223"/>
      <c r="HB269" s="223"/>
      <c r="HC269" s="223"/>
      <c r="HD269" s="223"/>
      <c r="HE269" s="223"/>
      <c r="HF269" s="223"/>
      <c r="HG269" s="223"/>
      <c r="HH269" s="223"/>
      <c r="HI269" s="223"/>
      <c r="HJ269" s="223"/>
      <c r="HK269" s="223"/>
      <c r="HL269" s="223"/>
      <c r="HM269" s="223"/>
      <c r="HN269" s="223"/>
      <c r="HO269" s="223"/>
      <c r="HP269" s="223"/>
      <c r="HQ269" s="223"/>
      <c r="HR269" s="223"/>
      <c r="HS269" s="223"/>
      <c r="HT269" s="223"/>
      <c r="HU269" s="223"/>
      <c r="HV269" s="223"/>
      <c r="HW269" s="223"/>
    </row>
    <row r="270" spans="1:231" s="222" customFormat="1" ht="25.5">
      <c r="A270" s="10">
        <v>13</v>
      </c>
      <c r="B270" s="62" t="s">
        <v>220</v>
      </c>
      <c r="C270" s="229" t="s">
        <v>46</v>
      </c>
      <c r="D270" s="3">
        <v>2016</v>
      </c>
      <c r="E270" s="3">
        <v>2018</v>
      </c>
      <c r="F270" s="224" t="s">
        <v>221</v>
      </c>
      <c r="G270" s="220">
        <v>4800</v>
      </c>
      <c r="H270" s="220">
        <v>1800</v>
      </c>
      <c r="I270" s="220">
        <v>3510</v>
      </c>
      <c r="J270" s="220">
        <v>510</v>
      </c>
      <c r="K270" s="204">
        <v>1110</v>
      </c>
      <c r="L270" s="36" t="s">
        <v>864</v>
      </c>
      <c r="M270" s="221"/>
      <c r="N270" s="225"/>
      <c r="O270" s="225"/>
      <c r="P270" s="172">
        <f t="shared" ref="P270:P316" si="25">I270+K270</f>
        <v>4620</v>
      </c>
      <c r="Q270" s="172">
        <f t="shared" ref="Q270:Q316" si="26">J270+K270</f>
        <v>1620</v>
      </c>
      <c r="R270" s="225"/>
      <c r="S270" s="225"/>
      <c r="T270" s="225"/>
      <c r="U270" s="225"/>
      <c r="V270" s="225"/>
      <c r="W270" s="225"/>
      <c r="X270" s="225"/>
      <c r="Y270" s="225"/>
      <c r="Z270" s="225"/>
      <c r="AA270" s="225"/>
      <c r="AB270" s="225"/>
      <c r="AC270" s="225"/>
      <c r="AD270" s="225"/>
      <c r="AE270" s="225"/>
      <c r="AF270" s="225"/>
      <c r="AG270" s="225"/>
      <c r="AH270" s="225"/>
      <c r="AI270" s="225"/>
      <c r="AJ270" s="225"/>
      <c r="AK270" s="225"/>
      <c r="AL270" s="225"/>
      <c r="AM270" s="225"/>
      <c r="AN270" s="225"/>
      <c r="AO270" s="225"/>
      <c r="AP270" s="225"/>
      <c r="AQ270" s="225"/>
      <c r="AR270" s="225"/>
      <c r="AS270" s="225"/>
      <c r="AT270" s="225"/>
      <c r="AU270" s="225"/>
      <c r="AV270" s="225"/>
      <c r="AW270" s="225"/>
      <c r="AX270" s="225"/>
      <c r="AY270" s="225"/>
      <c r="AZ270" s="225"/>
      <c r="BA270" s="225"/>
      <c r="BB270" s="225"/>
      <c r="BC270" s="225"/>
      <c r="BD270" s="225"/>
      <c r="BE270" s="225"/>
      <c r="BF270" s="225"/>
      <c r="BG270" s="225"/>
      <c r="BH270" s="225"/>
      <c r="BI270" s="225"/>
      <c r="BJ270" s="225"/>
      <c r="BK270" s="225"/>
      <c r="BL270" s="225"/>
      <c r="BM270" s="225"/>
      <c r="BN270" s="225"/>
      <c r="BO270" s="225"/>
      <c r="BP270" s="225"/>
      <c r="BQ270" s="225"/>
      <c r="BR270" s="225"/>
      <c r="BS270" s="225"/>
      <c r="BT270" s="225"/>
      <c r="BU270" s="225"/>
      <c r="BV270" s="225"/>
      <c r="BW270" s="225"/>
      <c r="BX270" s="225"/>
      <c r="BY270" s="225"/>
      <c r="BZ270" s="225"/>
      <c r="CA270" s="225"/>
      <c r="CB270" s="225"/>
      <c r="CC270" s="225"/>
      <c r="CD270" s="225"/>
      <c r="CE270" s="225"/>
      <c r="CF270" s="225"/>
      <c r="CG270" s="225"/>
      <c r="CH270" s="225"/>
      <c r="CI270" s="225"/>
      <c r="CJ270" s="225"/>
      <c r="CK270" s="225"/>
      <c r="CL270" s="225"/>
      <c r="CM270" s="225"/>
      <c r="CN270" s="225"/>
      <c r="CO270" s="225"/>
      <c r="CP270" s="225"/>
      <c r="CQ270" s="225"/>
      <c r="CR270" s="225"/>
      <c r="CS270" s="225"/>
      <c r="CT270" s="225"/>
      <c r="CU270" s="225"/>
      <c r="CV270" s="225"/>
      <c r="CW270" s="225"/>
      <c r="CX270" s="225"/>
      <c r="CY270" s="225"/>
      <c r="CZ270" s="225"/>
      <c r="DA270" s="225"/>
      <c r="DB270" s="225"/>
      <c r="DC270" s="225"/>
      <c r="DD270" s="225"/>
      <c r="DE270" s="225"/>
      <c r="DF270" s="225"/>
      <c r="DG270" s="225"/>
      <c r="DH270" s="225"/>
      <c r="DI270" s="225"/>
      <c r="DJ270" s="225"/>
      <c r="DK270" s="225"/>
      <c r="DL270" s="225"/>
      <c r="DM270" s="225"/>
      <c r="DN270" s="225"/>
      <c r="DO270" s="225"/>
      <c r="DP270" s="225"/>
      <c r="DQ270" s="225"/>
      <c r="DR270" s="225"/>
      <c r="DS270" s="225"/>
      <c r="DT270" s="225"/>
      <c r="DU270" s="225"/>
      <c r="DV270" s="225"/>
      <c r="DW270" s="225"/>
      <c r="DX270" s="225"/>
      <c r="DY270" s="225"/>
      <c r="DZ270" s="225"/>
      <c r="EA270" s="225"/>
      <c r="EB270" s="225"/>
      <c r="EC270" s="225"/>
      <c r="ED270" s="225"/>
      <c r="EE270" s="225"/>
      <c r="EF270" s="225"/>
      <c r="EG270" s="225"/>
      <c r="EH270" s="225"/>
      <c r="EI270" s="225"/>
      <c r="EJ270" s="225"/>
      <c r="EK270" s="225"/>
      <c r="EL270" s="225"/>
      <c r="EM270" s="225"/>
      <c r="EN270" s="225"/>
      <c r="EO270" s="225"/>
      <c r="EP270" s="225"/>
      <c r="EQ270" s="225"/>
      <c r="ER270" s="225"/>
      <c r="ES270" s="225"/>
      <c r="ET270" s="225"/>
      <c r="EU270" s="225"/>
      <c r="EV270" s="225"/>
      <c r="EW270" s="225"/>
      <c r="EX270" s="225"/>
      <c r="EY270" s="225"/>
      <c r="EZ270" s="225"/>
      <c r="FA270" s="225"/>
      <c r="FB270" s="225"/>
      <c r="FC270" s="225"/>
      <c r="FD270" s="225"/>
      <c r="FE270" s="225"/>
      <c r="FF270" s="225"/>
      <c r="FG270" s="225"/>
      <c r="FH270" s="225"/>
      <c r="FI270" s="225"/>
      <c r="FJ270" s="225"/>
      <c r="FK270" s="225"/>
      <c r="FL270" s="225"/>
      <c r="FM270" s="225"/>
      <c r="FN270" s="225"/>
      <c r="FO270" s="225"/>
      <c r="FP270" s="225"/>
      <c r="FQ270" s="225"/>
      <c r="FR270" s="225"/>
      <c r="FS270" s="225"/>
      <c r="FT270" s="225"/>
      <c r="FU270" s="225"/>
      <c r="FV270" s="225"/>
      <c r="FW270" s="225"/>
      <c r="FX270" s="225"/>
      <c r="FY270" s="225"/>
      <c r="FZ270" s="225"/>
      <c r="GA270" s="225"/>
      <c r="GB270" s="225"/>
      <c r="GC270" s="225"/>
      <c r="GD270" s="225"/>
      <c r="GE270" s="225"/>
      <c r="GF270" s="225"/>
      <c r="GG270" s="225"/>
      <c r="GH270" s="225"/>
      <c r="GI270" s="225"/>
      <c r="GJ270" s="225"/>
      <c r="GK270" s="225"/>
      <c r="GL270" s="225"/>
      <c r="GM270" s="225"/>
      <c r="GN270" s="225"/>
      <c r="GO270" s="225"/>
      <c r="GP270" s="225"/>
      <c r="GQ270" s="225"/>
      <c r="GR270" s="225"/>
      <c r="GS270" s="225"/>
      <c r="GT270" s="225"/>
      <c r="GU270" s="225"/>
      <c r="GV270" s="225"/>
      <c r="GW270" s="225"/>
      <c r="GX270" s="225"/>
      <c r="GY270" s="225"/>
      <c r="GZ270" s="225"/>
      <c r="HA270" s="225"/>
      <c r="HB270" s="225"/>
      <c r="HC270" s="225"/>
      <c r="HD270" s="225"/>
      <c r="HE270" s="225"/>
      <c r="HF270" s="225"/>
      <c r="HG270" s="225"/>
      <c r="HH270" s="225"/>
      <c r="HI270" s="225"/>
      <c r="HJ270" s="225"/>
      <c r="HK270" s="225"/>
      <c r="HL270" s="225"/>
      <c r="HM270" s="225"/>
      <c r="HN270" s="225"/>
      <c r="HO270" s="225"/>
      <c r="HP270" s="225"/>
      <c r="HQ270" s="225"/>
      <c r="HR270" s="225"/>
      <c r="HS270" s="225"/>
      <c r="HT270" s="225"/>
      <c r="HU270" s="225"/>
      <c r="HV270" s="225"/>
      <c r="HW270" s="225"/>
    </row>
    <row r="271" spans="1:231" s="222" customFormat="1" ht="31.5">
      <c r="A271" s="10">
        <v>14</v>
      </c>
      <c r="B271" s="55" t="s">
        <v>185</v>
      </c>
      <c r="C271" s="2" t="s">
        <v>9</v>
      </c>
      <c r="D271" s="3">
        <v>2016</v>
      </c>
      <c r="E271" s="3">
        <v>2018</v>
      </c>
      <c r="F271" s="219" t="s">
        <v>186</v>
      </c>
      <c r="G271" s="220">
        <v>4200</v>
      </c>
      <c r="H271" s="220">
        <v>4200</v>
      </c>
      <c r="I271" s="220">
        <v>2603</v>
      </c>
      <c r="J271" s="220">
        <v>2603</v>
      </c>
      <c r="K271" s="204">
        <v>1177</v>
      </c>
      <c r="L271" s="11" t="s">
        <v>1047</v>
      </c>
      <c r="M271" s="173"/>
      <c r="P271" s="172">
        <f t="shared" si="25"/>
        <v>3780</v>
      </c>
      <c r="Q271" s="172">
        <f t="shared" si="26"/>
        <v>3780</v>
      </c>
    </row>
    <row r="272" spans="1:231" s="225" customFormat="1" ht="25.5">
      <c r="A272" s="10">
        <v>15</v>
      </c>
      <c r="B272" s="62" t="s">
        <v>214</v>
      </c>
      <c r="C272" s="229" t="s">
        <v>46</v>
      </c>
      <c r="D272" s="3">
        <v>2016</v>
      </c>
      <c r="E272" s="3">
        <v>2018</v>
      </c>
      <c r="F272" s="224" t="s">
        <v>215</v>
      </c>
      <c r="G272" s="35">
        <v>4800</v>
      </c>
      <c r="H272" s="35">
        <v>4800</v>
      </c>
      <c r="I272" s="35">
        <v>3080</v>
      </c>
      <c r="J272" s="35">
        <v>3080</v>
      </c>
      <c r="K272" s="204">
        <v>1240</v>
      </c>
      <c r="L272" s="36" t="s">
        <v>884</v>
      </c>
      <c r="M272" s="221"/>
      <c r="P272" s="172">
        <f t="shared" si="25"/>
        <v>4320</v>
      </c>
      <c r="Q272" s="172">
        <f t="shared" si="26"/>
        <v>4320</v>
      </c>
    </row>
    <row r="273" spans="1:231" s="222" customFormat="1" ht="31.5">
      <c r="A273" s="10">
        <v>16</v>
      </c>
      <c r="B273" s="62" t="s">
        <v>216</v>
      </c>
      <c r="C273" s="218" t="s">
        <v>10</v>
      </c>
      <c r="D273" s="3">
        <v>2016</v>
      </c>
      <c r="E273" s="3">
        <v>2018</v>
      </c>
      <c r="F273" s="224" t="s">
        <v>217</v>
      </c>
      <c r="G273" s="220">
        <v>4800</v>
      </c>
      <c r="H273" s="220">
        <v>4800</v>
      </c>
      <c r="I273" s="220">
        <v>2950</v>
      </c>
      <c r="J273" s="220">
        <v>2950</v>
      </c>
      <c r="K273" s="204">
        <v>1370</v>
      </c>
      <c r="L273" s="36" t="s">
        <v>904</v>
      </c>
      <c r="M273" s="221"/>
      <c r="N273" s="225"/>
      <c r="O273" s="225"/>
      <c r="P273" s="172">
        <f t="shared" si="25"/>
        <v>4320</v>
      </c>
      <c r="Q273" s="172">
        <f t="shared" si="26"/>
        <v>4320</v>
      </c>
      <c r="R273" s="225"/>
      <c r="S273" s="225"/>
      <c r="T273" s="225"/>
      <c r="U273" s="225"/>
      <c r="V273" s="225"/>
      <c r="W273" s="225"/>
      <c r="X273" s="225"/>
      <c r="Y273" s="225"/>
      <c r="Z273" s="225"/>
      <c r="AA273" s="225"/>
      <c r="AB273" s="225"/>
      <c r="AC273" s="225"/>
      <c r="AD273" s="225"/>
      <c r="AE273" s="225"/>
      <c r="AF273" s="225"/>
      <c r="AG273" s="225"/>
      <c r="AH273" s="225"/>
      <c r="AI273" s="225"/>
      <c r="AJ273" s="225"/>
      <c r="AK273" s="225"/>
      <c r="AL273" s="225"/>
      <c r="AM273" s="225"/>
      <c r="AN273" s="225"/>
      <c r="AO273" s="225"/>
      <c r="AP273" s="225"/>
      <c r="AQ273" s="225"/>
      <c r="AR273" s="225"/>
      <c r="AS273" s="225"/>
      <c r="AT273" s="225"/>
      <c r="AU273" s="225"/>
      <c r="AV273" s="225"/>
      <c r="AW273" s="225"/>
      <c r="AX273" s="225"/>
      <c r="AY273" s="225"/>
      <c r="AZ273" s="225"/>
      <c r="BA273" s="225"/>
      <c r="BB273" s="225"/>
      <c r="BC273" s="225"/>
      <c r="BD273" s="225"/>
      <c r="BE273" s="225"/>
      <c r="BF273" s="225"/>
      <c r="BG273" s="225"/>
      <c r="BH273" s="225"/>
      <c r="BI273" s="225"/>
      <c r="BJ273" s="225"/>
      <c r="BK273" s="225"/>
      <c r="BL273" s="225"/>
      <c r="BM273" s="225"/>
      <c r="BN273" s="225"/>
      <c r="BO273" s="225"/>
      <c r="BP273" s="225"/>
      <c r="BQ273" s="225"/>
      <c r="BR273" s="225"/>
      <c r="BS273" s="225"/>
      <c r="BT273" s="225"/>
      <c r="BU273" s="225"/>
      <c r="BV273" s="225"/>
      <c r="BW273" s="225"/>
      <c r="BX273" s="225"/>
      <c r="BY273" s="225"/>
      <c r="BZ273" s="225"/>
      <c r="CA273" s="225"/>
      <c r="CB273" s="225"/>
      <c r="CC273" s="225"/>
      <c r="CD273" s="225"/>
      <c r="CE273" s="225"/>
      <c r="CF273" s="225"/>
      <c r="CG273" s="225"/>
      <c r="CH273" s="225"/>
      <c r="CI273" s="225"/>
      <c r="CJ273" s="225"/>
      <c r="CK273" s="225"/>
      <c r="CL273" s="225"/>
      <c r="CM273" s="225"/>
      <c r="CN273" s="225"/>
      <c r="CO273" s="225"/>
      <c r="CP273" s="225"/>
      <c r="CQ273" s="225"/>
      <c r="CR273" s="225"/>
      <c r="CS273" s="225"/>
      <c r="CT273" s="225"/>
      <c r="CU273" s="225"/>
      <c r="CV273" s="225"/>
      <c r="CW273" s="225"/>
      <c r="CX273" s="225"/>
      <c r="CY273" s="225"/>
      <c r="CZ273" s="225"/>
      <c r="DA273" s="225"/>
      <c r="DB273" s="225"/>
      <c r="DC273" s="225"/>
      <c r="DD273" s="225"/>
      <c r="DE273" s="225"/>
      <c r="DF273" s="225"/>
      <c r="DG273" s="225"/>
      <c r="DH273" s="225"/>
      <c r="DI273" s="225"/>
      <c r="DJ273" s="225"/>
      <c r="DK273" s="225"/>
      <c r="DL273" s="225"/>
      <c r="DM273" s="225"/>
      <c r="DN273" s="225"/>
      <c r="DO273" s="225"/>
      <c r="DP273" s="225"/>
      <c r="DQ273" s="225"/>
      <c r="DR273" s="225"/>
      <c r="DS273" s="225"/>
      <c r="DT273" s="225"/>
      <c r="DU273" s="225"/>
      <c r="DV273" s="225"/>
      <c r="DW273" s="225"/>
      <c r="DX273" s="225"/>
      <c r="DY273" s="225"/>
      <c r="DZ273" s="225"/>
      <c r="EA273" s="225"/>
      <c r="EB273" s="225"/>
      <c r="EC273" s="225"/>
      <c r="ED273" s="225"/>
      <c r="EE273" s="225"/>
      <c r="EF273" s="225"/>
      <c r="EG273" s="225"/>
      <c r="EH273" s="225"/>
      <c r="EI273" s="225"/>
      <c r="EJ273" s="225"/>
      <c r="EK273" s="225"/>
      <c r="EL273" s="225"/>
      <c r="EM273" s="225"/>
      <c r="EN273" s="225"/>
      <c r="EO273" s="225"/>
      <c r="EP273" s="225"/>
      <c r="EQ273" s="225"/>
      <c r="ER273" s="225"/>
      <c r="ES273" s="225"/>
      <c r="ET273" s="225"/>
      <c r="EU273" s="225"/>
      <c r="EV273" s="225"/>
      <c r="EW273" s="225"/>
      <c r="EX273" s="225"/>
      <c r="EY273" s="225"/>
      <c r="EZ273" s="225"/>
      <c r="FA273" s="225"/>
      <c r="FB273" s="225"/>
      <c r="FC273" s="225"/>
      <c r="FD273" s="225"/>
      <c r="FE273" s="225"/>
      <c r="FF273" s="225"/>
      <c r="FG273" s="225"/>
      <c r="FH273" s="225"/>
      <c r="FI273" s="225"/>
      <c r="FJ273" s="225"/>
      <c r="FK273" s="225"/>
      <c r="FL273" s="225"/>
      <c r="FM273" s="225"/>
      <c r="FN273" s="225"/>
      <c r="FO273" s="225"/>
      <c r="FP273" s="225"/>
      <c r="FQ273" s="225"/>
      <c r="FR273" s="225"/>
      <c r="FS273" s="225"/>
      <c r="FT273" s="225"/>
      <c r="FU273" s="225"/>
      <c r="FV273" s="225"/>
      <c r="FW273" s="225"/>
      <c r="FX273" s="225"/>
      <c r="FY273" s="225"/>
      <c r="FZ273" s="225"/>
      <c r="GA273" s="225"/>
      <c r="GB273" s="225"/>
      <c r="GC273" s="225"/>
      <c r="GD273" s="225"/>
      <c r="GE273" s="225"/>
      <c r="GF273" s="225"/>
      <c r="GG273" s="225"/>
      <c r="GH273" s="225"/>
      <c r="GI273" s="225"/>
      <c r="GJ273" s="225"/>
      <c r="GK273" s="225"/>
      <c r="GL273" s="225"/>
      <c r="GM273" s="225"/>
      <c r="GN273" s="225"/>
      <c r="GO273" s="225"/>
      <c r="GP273" s="225"/>
      <c r="GQ273" s="225"/>
      <c r="GR273" s="225"/>
      <c r="GS273" s="225"/>
      <c r="GT273" s="225"/>
      <c r="GU273" s="225"/>
      <c r="GV273" s="225"/>
      <c r="GW273" s="225"/>
      <c r="GX273" s="225"/>
      <c r="GY273" s="225"/>
      <c r="GZ273" s="225"/>
      <c r="HA273" s="225"/>
      <c r="HB273" s="225"/>
      <c r="HC273" s="225"/>
      <c r="HD273" s="225"/>
      <c r="HE273" s="225"/>
      <c r="HF273" s="225"/>
      <c r="HG273" s="225"/>
      <c r="HH273" s="225"/>
      <c r="HI273" s="225"/>
      <c r="HJ273" s="225"/>
      <c r="HK273" s="225"/>
      <c r="HL273" s="225"/>
      <c r="HM273" s="225"/>
      <c r="HN273" s="225"/>
      <c r="HO273" s="225"/>
      <c r="HP273" s="225"/>
      <c r="HQ273" s="225"/>
      <c r="HR273" s="225"/>
      <c r="HS273" s="225"/>
      <c r="HT273" s="225"/>
      <c r="HU273" s="225"/>
      <c r="HV273" s="225"/>
      <c r="HW273" s="225"/>
    </row>
    <row r="274" spans="1:231" s="222" customFormat="1" ht="15.75">
      <c r="A274" s="175" t="s">
        <v>825</v>
      </c>
      <c r="B274" s="212" t="s">
        <v>1048</v>
      </c>
      <c r="C274" s="218"/>
      <c r="D274" s="3"/>
      <c r="E274" s="3"/>
      <c r="F274" s="219"/>
      <c r="G274" s="220"/>
      <c r="H274" s="220"/>
      <c r="I274" s="220"/>
      <c r="J274" s="220"/>
      <c r="K274" s="204"/>
      <c r="L274" s="36"/>
      <c r="M274" s="221"/>
      <c r="P274" s="172">
        <f t="shared" si="25"/>
        <v>0</v>
      </c>
      <c r="Q274" s="172">
        <f t="shared" si="26"/>
        <v>0</v>
      </c>
    </row>
    <row r="275" spans="1:231" s="223" customFormat="1" ht="31.5">
      <c r="A275" s="10">
        <v>1</v>
      </c>
      <c r="B275" s="55" t="s">
        <v>251</v>
      </c>
      <c r="C275" s="229" t="s">
        <v>44</v>
      </c>
      <c r="D275" s="3">
        <v>2017</v>
      </c>
      <c r="E275" s="3">
        <v>2019</v>
      </c>
      <c r="F275" s="219" t="s">
        <v>252</v>
      </c>
      <c r="G275" s="220">
        <v>2916</v>
      </c>
      <c r="H275" s="220">
        <v>2916</v>
      </c>
      <c r="I275" s="220">
        <v>805</v>
      </c>
      <c r="J275" s="220">
        <v>805</v>
      </c>
      <c r="K275" s="204">
        <v>910</v>
      </c>
      <c r="L275" s="36" t="s">
        <v>1049</v>
      </c>
      <c r="M275" s="221"/>
      <c r="N275" s="227">
        <f>J275+K275</f>
        <v>1715</v>
      </c>
      <c r="O275" s="222"/>
      <c r="P275" s="172">
        <f t="shared" si="25"/>
        <v>1715</v>
      </c>
      <c r="Q275" s="172">
        <f t="shared" si="26"/>
        <v>1715</v>
      </c>
      <c r="R275" s="222"/>
      <c r="S275" s="222"/>
      <c r="T275" s="222"/>
      <c r="U275" s="222"/>
      <c r="V275" s="222"/>
      <c r="W275" s="222"/>
      <c r="X275" s="222"/>
      <c r="Y275" s="222"/>
      <c r="Z275" s="222"/>
      <c r="AA275" s="222"/>
      <c r="AB275" s="222"/>
      <c r="AC275" s="222"/>
      <c r="AD275" s="222"/>
      <c r="AE275" s="222"/>
      <c r="AF275" s="222"/>
      <c r="AG275" s="222"/>
      <c r="AH275" s="222"/>
      <c r="AI275" s="222"/>
      <c r="AJ275" s="222"/>
      <c r="AK275" s="222"/>
      <c r="AL275" s="222"/>
      <c r="AM275" s="222"/>
      <c r="AN275" s="222"/>
      <c r="AO275" s="222"/>
      <c r="AP275" s="222"/>
      <c r="AQ275" s="222"/>
      <c r="AR275" s="222"/>
      <c r="AS275" s="222"/>
      <c r="AT275" s="222"/>
      <c r="AU275" s="222"/>
      <c r="AV275" s="222"/>
      <c r="AW275" s="222"/>
      <c r="AX275" s="222"/>
      <c r="AY275" s="222"/>
      <c r="AZ275" s="222"/>
      <c r="BA275" s="222"/>
      <c r="BB275" s="222"/>
      <c r="BC275" s="222"/>
      <c r="BD275" s="222"/>
      <c r="BE275" s="222"/>
      <c r="BF275" s="222"/>
      <c r="BG275" s="222"/>
      <c r="BH275" s="222"/>
      <c r="BI275" s="222"/>
      <c r="BJ275" s="222"/>
      <c r="BK275" s="222"/>
      <c r="BL275" s="222"/>
      <c r="BM275" s="222"/>
      <c r="BN275" s="222"/>
      <c r="BO275" s="222"/>
      <c r="BP275" s="222"/>
      <c r="BQ275" s="222"/>
      <c r="BR275" s="222"/>
      <c r="BS275" s="222"/>
      <c r="BT275" s="222"/>
      <c r="BU275" s="222"/>
      <c r="BV275" s="222"/>
      <c r="BW275" s="222"/>
      <c r="BX275" s="222"/>
      <c r="BY275" s="222"/>
      <c r="BZ275" s="222"/>
      <c r="CA275" s="222"/>
      <c r="CB275" s="222"/>
      <c r="CC275" s="222"/>
      <c r="CD275" s="222"/>
      <c r="CE275" s="222"/>
      <c r="CF275" s="222"/>
      <c r="CG275" s="222"/>
      <c r="CH275" s="222"/>
      <c r="CI275" s="222"/>
      <c r="CJ275" s="222"/>
      <c r="CK275" s="222"/>
      <c r="CL275" s="222"/>
      <c r="CM275" s="222"/>
      <c r="CN275" s="222"/>
      <c r="CO275" s="222"/>
      <c r="CP275" s="222"/>
      <c r="CQ275" s="222"/>
      <c r="CR275" s="222"/>
      <c r="CS275" s="222"/>
      <c r="CT275" s="222"/>
      <c r="CU275" s="222"/>
      <c r="CV275" s="222"/>
      <c r="CW275" s="222"/>
      <c r="CX275" s="222"/>
      <c r="CY275" s="222"/>
      <c r="CZ275" s="222"/>
      <c r="DA275" s="222"/>
      <c r="DB275" s="222"/>
      <c r="DC275" s="222"/>
      <c r="DD275" s="222"/>
      <c r="DE275" s="222"/>
      <c r="DF275" s="222"/>
      <c r="DG275" s="222"/>
      <c r="DH275" s="222"/>
      <c r="DI275" s="222"/>
      <c r="DJ275" s="222"/>
      <c r="DK275" s="222"/>
      <c r="DL275" s="222"/>
      <c r="DM275" s="222"/>
      <c r="DN275" s="222"/>
      <c r="DO275" s="222"/>
      <c r="DP275" s="222"/>
      <c r="DQ275" s="222"/>
      <c r="DR275" s="222"/>
      <c r="DS275" s="222"/>
      <c r="DT275" s="222"/>
      <c r="DU275" s="222"/>
      <c r="DV275" s="222"/>
      <c r="DW275" s="222"/>
      <c r="DX275" s="222"/>
      <c r="DY275" s="222"/>
      <c r="DZ275" s="222"/>
      <c r="EA275" s="222"/>
      <c r="EB275" s="222"/>
      <c r="EC275" s="222"/>
      <c r="ED275" s="222"/>
      <c r="EE275" s="222"/>
      <c r="EF275" s="222"/>
      <c r="EG275" s="222"/>
      <c r="EH275" s="222"/>
      <c r="EI275" s="222"/>
      <c r="EJ275" s="222"/>
      <c r="EK275" s="222"/>
      <c r="EL275" s="222"/>
      <c r="EM275" s="222"/>
      <c r="EN275" s="222"/>
      <c r="EO275" s="222"/>
      <c r="EP275" s="222"/>
      <c r="EQ275" s="222"/>
      <c r="ER275" s="222"/>
      <c r="ES275" s="222"/>
      <c r="ET275" s="222"/>
      <c r="EU275" s="222"/>
      <c r="EV275" s="222"/>
      <c r="EW275" s="222"/>
      <c r="EX275" s="222"/>
      <c r="EY275" s="222"/>
      <c r="EZ275" s="222"/>
      <c r="FA275" s="222"/>
      <c r="FB275" s="222"/>
      <c r="FC275" s="222"/>
      <c r="FD275" s="222"/>
      <c r="FE275" s="222"/>
      <c r="FF275" s="222"/>
      <c r="FG275" s="222"/>
      <c r="FH275" s="222"/>
      <c r="FI275" s="222"/>
      <c r="FJ275" s="222"/>
      <c r="FK275" s="222"/>
      <c r="FL275" s="222"/>
      <c r="FM275" s="222"/>
      <c r="FN275" s="222"/>
      <c r="FO275" s="222"/>
      <c r="FP275" s="222"/>
      <c r="FQ275" s="222"/>
      <c r="FR275" s="222"/>
      <c r="FS275" s="222"/>
      <c r="FT275" s="222"/>
      <c r="FU275" s="222"/>
      <c r="FV275" s="222"/>
      <c r="FW275" s="222"/>
      <c r="FX275" s="222"/>
      <c r="FY275" s="222"/>
      <c r="FZ275" s="222"/>
      <c r="GA275" s="222"/>
      <c r="GB275" s="222"/>
      <c r="GC275" s="222"/>
      <c r="GD275" s="222"/>
      <c r="GE275" s="222"/>
      <c r="GF275" s="222"/>
      <c r="GG275" s="222"/>
      <c r="GH275" s="222"/>
      <c r="GI275" s="222"/>
      <c r="GJ275" s="222"/>
      <c r="GK275" s="222"/>
      <c r="GL275" s="222"/>
      <c r="GM275" s="222"/>
      <c r="GN275" s="222"/>
      <c r="GO275" s="222"/>
      <c r="GP275" s="222"/>
      <c r="GQ275" s="222"/>
      <c r="GR275" s="222"/>
      <c r="GS275" s="222"/>
      <c r="GT275" s="222"/>
      <c r="GU275" s="222"/>
      <c r="GV275" s="222"/>
      <c r="GW275" s="222"/>
      <c r="GX275" s="222"/>
      <c r="GY275" s="222"/>
      <c r="GZ275" s="222"/>
      <c r="HA275" s="222"/>
      <c r="HB275" s="222"/>
      <c r="HC275" s="222"/>
      <c r="HD275" s="222"/>
      <c r="HE275" s="222"/>
      <c r="HF275" s="222"/>
      <c r="HG275" s="222"/>
      <c r="HH275" s="222"/>
      <c r="HI275" s="222"/>
      <c r="HJ275" s="222"/>
      <c r="HK275" s="222"/>
      <c r="HL275" s="222"/>
      <c r="HM275" s="222"/>
      <c r="HN275" s="222"/>
      <c r="HO275" s="222"/>
      <c r="HP275" s="222"/>
      <c r="HQ275" s="222"/>
      <c r="HR275" s="222"/>
      <c r="HS275" s="222"/>
      <c r="HT275" s="222"/>
      <c r="HU275" s="222"/>
      <c r="HV275" s="222"/>
      <c r="HW275" s="222"/>
    </row>
    <row r="276" spans="1:231" s="222" customFormat="1" ht="31.5">
      <c r="A276" s="10">
        <v>2</v>
      </c>
      <c r="B276" s="62" t="s">
        <v>235</v>
      </c>
      <c r="C276" s="2" t="s">
        <v>33</v>
      </c>
      <c r="D276" s="3">
        <v>2017</v>
      </c>
      <c r="E276" s="3">
        <v>2019</v>
      </c>
      <c r="F276" s="224" t="s">
        <v>236</v>
      </c>
      <c r="G276" s="35">
        <v>6229</v>
      </c>
      <c r="H276" s="35">
        <v>3000</v>
      </c>
      <c r="I276" s="220">
        <v>1025</v>
      </c>
      <c r="J276" s="220">
        <v>1025</v>
      </c>
      <c r="K276" s="11">
        <v>838</v>
      </c>
      <c r="L276" s="11" t="s">
        <v>1050</v>
      </c>
      <c r="M276" s="173"/>
      <c r="N276" s="223">
        <f>I276+K276</f>
        <v>1863</v>
      </c>
      <c r="O276" s="223"/>
      <c r="P276" s="172">
        <f t="shared" si="25"/>
        <v>1863</v>
      </c>
      <c r="Q276" s="172">
        <f t="shared" si="26"/>
        <v>1863</v>
      </c>
      <c r="R276" s="223"/>
      <c r="S276" s="223"/>
      <c r="T276" s="223"/>
      <c r="U276" s="223"/>
      <c r="V276" s="223"/>
      <c r="W276" s="223"/>
      <c r="X276" s="223"/>
      <c r="Y276" s="223"/>
      <c r="Z276" s="223"/>
      <c r="AA276" s="223"/>
      <c r="AB276" s="223"/>
      <c r="AC276" s="223"/>
      <c r="AD276" s="223"/>
      <c r="AE276" s="223"/>
      <c r="AF276" s="223"/>
      <c r="AG276" s="223"/>
      <c r="AH276" s="223"/>
      <c r="AI276" s="223"/>
      <c r="AJ276" s="223"/>
      <c r="AK276" s="223"/>
      <c r="AL276" s="223"/>
      <c r="AM276" s="223"/>
      <c r="AN276" s="223"/>
      <c r="AO276" s="223"/>
      <c r="AP276" s="223"/>
      <c r="AQ276" s="223"/>
      <c r="AR276" s="223"/>
      <c r="AS276" s="223"/>
      <c r="AT276" s="223"/>
      <c r="AU276" s="223"/>
      <c r="AV276" s="223"/>
      <c r="AW276" s="223"/>
      <c r="AX276" s="223"/>
      <c r="AY276" s="223"/>
      <c r="AZ276" s="223"/>
      <c r="BA276" s="223"/>
      <c r="BB276" s="223"/>
      <c r="BC276" s="223"/>
      <c r="BD276" s="223"/>
      <c r="BE276" s="223"/>
      <c r="BF276" s="223"/>
      <c r="BG276" s="223"/>
      <c r="BH276" s="223"/>
      <c r="BI276" s="223"/>
      <c r="BJ276" s="223"/>
      <c r="BK276" s="223"/>
      <c r="BL276" s="223"/>
      <c r="BM276" s="223"/>
      <c r="BN276" s="223"/>
      <c r="BO276" s="223"/>
      <c r="BP276" s="223"/>
      <c r="BQ276" s="223"/>
      <c r="BR276" s="223"/>
      <c r="BS276" s="223"/>
      <c r="BT276" s="223"/>
      <c r="BU276" s="223"/>
      <c r="BV276" s="223"/>
      <c r="BW276" s="223"/>
      <c r="BX276" s="223"/>
      <c r="BY276" s="223"/>
      <c r="BZ276" s="223"/>
      <c r="CA276" s="223"/>
      <c r="CB276" s="223"/>
      <c r="CC276" s="223"/>
      <c r="CD276" s="223"/>
      <c r="CE276" s="223"/>
      <c r="CF276" s="223"/>
      <c r="CG276" s="223"/>
      <c r="CH276" s="223"/>
      <c r="CI276" s="223"/>
      <c r="CJ276" s="223"/>
      <c r="CK276" s="223"/>
      <c r="CL276" s="223"/>
      <c r="CM276" s="223"/>
      <c r="CN276" s="223"/>
      <c r="CO276" s="223"/>
      <c r="CP276" s="223"/>
      <c r="CQ276" s="223"/>
      <c r="CR276" s="223"/>
      <c r="CS276" s="223"/>
      <c r="CT276" s="223"/>
      <c r="CU276" s="223"/>
      <c r="CV276" s="223"/>
      <c r="CW276" s="223"/>
      <c r="CX276" s="223"/>
      <c r="CY276" s="223"/>
      <c r="CZ276" s="223"/>
      <c r="DA276" s="223"/>
      <c r="DB276" s="223"/>
      <c r="DC276" s="223"/>
      <c r="DD276" s="223"/>
      <c r="DE276" s="223"/>
      <c r="DF276" s="223"/>
      <c r="DG276" s="223"/>
      <c r="DH276" s="223"/>
      <c r="DI276" s="223"/>
      <c r="DJ276" s="223"/>
      <c r="DK276" s="223"/>
      <c r="DL276" s="223"/>
      <c r="DM276" s="223"/>
      <c r="DN276" s="223"/>
      <c r="DO276" s="223"/>
      <c r="DP276" s="223"/>
      <c r="DQ276" s="223"/>
      <c r="DR276" s="223"/>
      <c r="DS276" s="223"/>
      <c r="DT276" s="223"/>
      <c r="DU276" s="223"/>
      <c r="DV276" s="223"/>
      <c r="DW276" s="223"/>
      <c r="DX276" s="223"/>
      <c r="DY276" s="223"/>
      <c r="DZ276" s="223"/>
      <c r="EA276" s="223"/>
      <c r="EB276" s="223"/>
      <c r="EC276" s="223"/>
      <c r="ED276" s="223"/>
      <c r="EE276" s="223"/>
      <c r="EF276" s="223"/>
      <c r="EG276" s="223"/>
      <c r="EH276" s="223"/>
      <c r="EI276" s="223"/>
      <c r="EJ276" s="223"/>
      <c r="EK276" s="223"/>
      <c r="EL276" s="223"/>
      <c r="EM276" s="223"/>
      <c r="EN276" s="223"/>
      <c r="EO276" s="223"/>
      <c r="EP276" s="223"/>
      <c r="EQ276" s="223"/>
      <c r="ER276" s="223"/>
      <c r="ES276" s="223"/>
      <c r="ET276" s="223"/>
      <c r="EU276" s="223"/>
      <c r="EV276" s="223"/>
      <c r="EW276" s="223"/>
      <c r="EX276" s="223"/>
      <c r="EY276" s="223"/>
      <c r="EZ276" s="223"/>
      <c r="FA276" s="223"/>
      <c r="FB276" s="223"/>
      <c r="FC276" s="223"/>
      <c r="FD276" s="223"/>
      <c r="FE276" s="223"/>
      <c r="FF276" s="223"/>
      <c r="FG276" s="223"/>
      <c r="FH276" s="223"/>
      <c r="FI276" s="223"/>
      <c r="FJ276" s="223"/>
      <c r="FK276" s="223"/>
      <c r="FL276" s="223"/>
      <c r="FM276" s="223"/>
      <c r="FN276" s="223"/>
      <c r="FO276" s="223"/>
      <c r="FP276" s="223"/>
      <c r="FQ276" s="223"/>
      <c r="FR276" s="223"/>
      <c r="FS276" s="223"/>
      <c r="FT276" s="223"/>
      <c r="FU276" s="223"/>
      <c r="FV276" s="223"/>
      <c r="FW276" s="223"/>
      <c r="FX276" s="223"/>
      <c r="FY276" s="223"/>
      <c r="FZ276" s="223"/>
      <c r="GA276" s="223"/>
      <c r="GB276" s="223"/>
      <c r="GC276" s="223"/>
      <c r="GD276" s="223"/>
      <c r="GE276" s="223"/>
      <c r="GF276" s="223"/>
      <c r="GG276" s="223"/>
      <c r="GH276" s="223"/>
      <c r="GI276" s="223"/>
      <c r="GJ276" s="223"/>
      <c r="GK276" s="223"/>
      <c r="GL276" s="223"/>
      <c r="GM276" s="223"/>
      <c r="GN276" s="223"/>
      <c r="GO276" s="223"/>
      <c r="GP276" s="223"/>
      <c r="GQ276" s="223"/>
      <c r="GR276" s="223"/>
      <c r="GS276" s="223"/>
      <c r="GT276" s="223"/>
      <c r="GU276" s="223"/>
      <c r="GV276" s="223"/>
      <c r="GW276" s="223"/>
      <c r="GX276" s="223"/>
      <c r="GY276" s="223"/>
      <c r="GZ276" s="223"/>
      <c r="HA276" s="223"/>
      <c r="HB276" s="223"/>
      <c r="HC276" s="223"/>
      <c r="HD276" s="223"/>
      <c r="HE276" s="223"/>
      <c r="HF276" s="223"/>
      <c r="HG276" s="223"/>
      <c r="HH276" s="223"/>
      <c r="HI276" s="223"/>
      <c r="HJ276" s="223"/>
      <c r="HK276" s="223"/>
      <c r="HL276" s="223"/>
      <c r="HM276" s="223"/>
      <c r="HN276" s="223"/>
      <c r="HO276" s="223"/>
      <c r="HP276" s="223"/>
      <c r="HQ276" s="223"/>
      <c r="HR276" s="223"/>
      <c r="HS276" s="223"/>
      <c r="HT276" s="223"/>
      <c r="HU276" s="223"/>
      <c r="HV276" s="223"/>
      <c r="HW276" s="223"/>
    </row>
    <row r="277" spans="1:231" s="225" customFormat="1" ht="25.5">
      <c r="A277" s="10">
        <v>3</v>
      </c>
      <c r="B277" s="55" t="s">
        <v>247</v>
      </c>
      <c r="C277" s="229" t="s">
        <v>46</v>
      </c>
      <c r="D277" s="3">
        <v>2017</v>
      </c>
      <c r="E277" s="3">
        <v>2019</v>
      </c>
      <c r="F277" s="224" t="s">
        <v>248</v>
      </c>
      <c r="G277" s="35">
        <v>2992</v>
      </c>
      <c r="H277" s="35">
        <v>2992</v>
      </c>
      <c r="I277" s="220">
        <v>825</v>
      </c>
      <c r="J277" s="220">
        <v>825</v>
      </c>
      <c r="K277" s="204">
        <v>934</v>
      </c>
      <c r="L277" s="36" t="s">
        <v>1051</v>
      </c>
      <c r="M277" s="221"/>
      <c r="N277" s="227">
        <f>J277+K277</f>
        <v>1759</v>
      </c>
      <c r="O277" s="222"/>
      <c r="P277" s="172">
        <f t="shared" si="25"/>
        <v>1759</v>
      </c>
      <c r="Q277" s="172">
        <f t="shared" si="26"/>
        <v>1759</v>
      </c>
      <c r="R277" s="222"/>
      <c r="S277" s="222"/>
      <c r="T277" s="222"/>
      <c r="U277" s="222"/>
      <c r="V277" s="222"/>
      <c r="W277" s="222"/>
      <c r="X277" s="222"/>
      <c r="Y277" s="222"/>
      <c r="Z277" s="222"/>
      <c r="AA277" s="222"/>
      <c r="AB277" s="222"/>
      <c r="AC277" s="222"/>
      <c r="AD277" s="222"/>
      <c r="AE277" s="222"/>
      <c r="AF277" s="222"/>
      <c r="AG277" s="222"/>
      <c r="AH277" s="222"/>
      <c r="AI277" s="222"/>
      <c r="AJ277" s="222"/>
      <c r="AK277" s="222"/>
      <c r="AL277" s="222"/>
      <c r="AM277" s="222"/>
      <c r="AN277" s="222"/>
      <c r="AO277" s="222"/>
      <c r="AP277" s="222"/>
      <c r="AQ277" s="222"/>
      <c r="AR277" s="222"/>
      <c r="AS277" s="222"/>
      <c r="AT277" s="222"/>
      <c r="AU277" s="222"/>
      <c r="AV277" s="222"/>
      <c r="AW277" s="222"/>
      <c r="AX277" s="222"/>
      <c r="AY277" s="222"/>
      <c r="AZ277" s="222"/>
      <c r="BA277" s="222"/>
      <c r="BB277" s="222"/>
      <c r="BC277" s="222"/>
      <c r="BD277" s="222"/>
      <c r="BE277" s="222"/>
      <c r="BF277" s="222"/>
      <c r="BG277" s="222"/>
      <c r="BH277" s="222"/>
      <c r="BI277" s="222"/>
      <c r="BJ277" s="222"/>
      <c r="BK277" s="222"/>
      <c r="BL277" s="222"/>
      <c r="BM277" s="222"/>
      <c r="BN277" s="222"/>
      <c r="BO277" s="222"/>
      <c r="BP277" s="222"/>
      <c r="BQ277" s="222"/>
      <c r="BR277" s="222"/>
      <c r="BS277" s="222"/>
      <c r="BT277" s="222"/>
      <c r="BU277" s="222"/>
      <c r="BV277" s="222"/>
      <c r="BW277" s="222"/>
      <c r="BX277" s="222"/>
      <c r="BY277" s="222"/>
      <c r="BZ277" s="222"/>
      <c r="CA277" s="222"/>
      <c r="CB277" s="222"/>
      <c r="CC277" s="222"/>
      <c r="CD277" s="222"/>
      <c r="CE277" s="222"/>
      <c r="CF277" s="222"/>
      <c r="CG277" s="222"/>
      <c r="CH277" s="222"/>
      <c r="CI277" s="222"/>
      <c r="CJ277" s="222"/>
      <c r="CK277" s="222"/>
      <c r="CL277" s="222"/>
      <c r="CM277" s="222"/>
      <c r="CN277" s="222"/>
      <c r="CO277" s="222"/>
      <c r="CP277" s="222"/>
      <c r="CQ277" s="222"/>
      <c r="CR277" s="222"/>
      <c r="CS277" s="222"/>
      <c r="CT277" s="222"/>
      <c r="CU277" s="222"/>
      <c r="CV277" s="222"/>
      <c r="CW277" s="222"/>
      <c r="CX277" s="222"/>
      <c r="CY277" s="222"/>
      <c r="CZ277" s="222"/>
      <c r="DA277" s="222"/>
      <c r="DB277" s="222"/>
      <c r="DC277" s="222"/>
      <c r="DD277" s="222"/>
      <c r="DE277" s="222"/>
      <c r="DF277" s="222"/>
      <c r="DG277" s="222"/>
      <c r="DH277" s="222"/>
      <c r="DI277" s="222"/>
      <c r="DJ277" s="222"/>
      <c r="DK277" s="222"/>
      <c r="DL277" s="222"/>
      <c r="DM277" s="222"/>
      <c r="DN277" s="222"/>
      <c r="DO277" s="222"/>
      <c r="DP277" s="222"/>
      <c r="DQ277" s="222"/>
      <c r="DR277" s="222"/>
      <c r="DS277" s="222"/>
      <c r="DT277" s="222"/>
      <c r="DU277" s="222"/>
      <c r="DV277" s="222"/>
      <c r="DW277" s="222"/>
      <c r="DX277" s="222"/>
      <c r="DY277" s="222"/>
      <c r="DZ277" s="222"/>
      <c r="EA277" s="222"/>
      <c r="EB277" s="222"/>
      <c r="EC277" s="222"/>
      <c r="ED277" s="222"/>
      <c r="EE277" s="222"/>
      <c r="EF277" s="222"/>
      <c r="EG277" s="222"/>
      <c r="EH277" s="222"/>
      <c r="EI277" s="222"/>
      <c r="EJ277" s="222"/>
      <c r="EK277" s="222"/>
      <c r="EL277" s="222"/>
      <c r="EM277" s="222"/>
      <c r="EN277" s="222"/>
      <c r="EO277" s="222"/>
      <c r="EP277" s="222"/>
      <c r="EQ277" s="222"/>
      <c r="ER277" s="222"/>
      <c r="ES277" s="222"/>
      <c r="ET277" s="222"/>
      <c r="EU277" s="222"/>
      <c r="EV277" s="222"/>
      <c r="EW277" s="222"/>
      <c r="EX277" s="222"/>
      <c r="EY277" s="222"/>
      <c r="EZ277" s="222"/>
      <c r="FA277" s="222"/>
      <c r="FB277" s="222"/>
      <c r="FC277" s="222"/>
      <c r="FD277" s="222"/>
      <c r="FE277" s="222"/>
      <c r="FF277" s="222"/>
      <c r="FG277" s="222"/>
      <c r="FH277" s="222"/>
      <c r="FI277" s="222"/>
      <c r="FJ277" s="222"/>
      <c r="FK277" s="222"/>
      <c r="FL277" s="222"/>
      <c r="FM277" s="222"/>
      <c r="FN277" s="222"/>
      <c r="FO277" s="222"/>
      <c r="FP277" s="222"/>
      <c r="FQ277" s="222"/>
      <c r="FR277" s="222"/>
      <c r="FS277" s="222"/>
      <c r="FT277" s="222"/>
      <c r="FU277" s="222"/>
      <c r="FV277" s="222"/>
      <c r="FW277" s="222"/>
      <c r="FX277" s="222"/>
      <c r="FY277" s="222"/>
      <c r="FZ277" s="222"/>
      <c r="GA277" s="222"/>
      <c r="GB277" s="222"/>
      <c r="GC277" s="222"/>
      <c r="GD277" s="222"/>
      <c r="GE277" s="222"/>
      <c r="GF277" s="222"/>
      <c r="GG277" s="222"/>
      <c r="GH277" s="222"/>
      <c r="GI277" s="222"/>
      <c r="GJ277" s="222"/>
      <c r="GK277" s="222"/>
      <c r="GL277" s="222"/>
      <c r="GM277" s="222"/>
      <c r="GN277" s="222"/>
      <c r="GO277" s="222"/>
      <c r="GP277" s="222"/>
      <c r="GQ277" s="222"/>
      <c r="GR277" s="222"/>
      <c r="GS277" s="222"/>
      <c r="GT277" s="222"/>
      <c r="GU277" s="222"/>
      <c r="GV277" s="222"/>
      <c r="GW277" s="222"/>
      <c r="GX277" s="222"/>
      <c r="GY277" s="222"/>
      <c r="GZ277" s="222"/>
      <c r="HA277" s="222"/>
      <c r="HB277" s="222"/>
      <c r="HC277" s="222"/>
      <c r="HD277" s="222"/>
      <c r="HE277" s="222"/>
      <c r="HF277" s="222"/>
      <c r="HG277" s="222"/>
      <c r="HH277" s="222"/>
      <c r="HI277" s="222"/>
      <c r="HJ277" s="222"/>
      <c r="HK277" s="222"/>
      <c r="HL277" s="222"/>
      <c r="HM277" s="222"/>
      <c r="HN277" s="222"/>
      <c r="HO277" s="222"/>
      <c r="HP277" s="222"/>
      <c r="HQ277" s="222"/>
      <c r="HR277" s="222"/>
      <c r="HS277" s="222"/>
      <c r="HT277" s="222"/>
      <c r="HU277" s="222"/>
      <c r="HV277" s="222"/>
      <c r="HW277" s="222"/>
    </row>
    <row r="278" spans="1:231" s="225" customFormat="1" ht="31.5">
      <c r="A278" s="10">
        <v>4</v>
      </c>
      <c r="B278" s="62" t="s">
        <v>239</v>
      </c>
      <c r="C278" s="231" t="s">
        <v>44</v>
      </c>
      <c r="D278" s="3">
        <v>2017</v>
      </c>
      <c r="E278" s="3">
        <v>2019</v>
      </c>
      <c r="F278" s="224" t="s">
        <v>240</v>
      </c>
      <c r="G278" s="35">
        <v>3777</v>
      </c>
      <c r="H278" s="35">
        <v>3777</v>
      </c>
      <c r="I278" s="220">
        <v>1200</v>
      </c>
      <c r="J278" s="220">
        <v>1200</v>
      </c>
      <c r="K278" s="11">
        <v>1100</v>
      </c>
      <c r="L278" s="11" t="s">
        <v>1052</v>
      </c>
      <c r="M278" s="173"/>
      <c r="N278" s="222"/>
      <c r="O278" s="222"/>
      <c r="P278" s="172">
        <f t="shared" si="25"/>
        <v>2300</v>
      </c>
      <c r="Q278" s="172">
        <f t="shared" si="26"/>
        <v>2300</v>
      </c>
      <c r="R278" s="222"/>
      <c r="S278" s="222"/>
      <c r="T278" s="222"/>
      <c r="U278" s="222"/>
      <c r="V278" s="222"/>
      <c r="W278" s="222"/>
      <c r="X278" s="222"/>
      <c r="Y278" s="222"/>
      <c r="Z278" s="222"/>
      <c r="AA278" s="222"/>
      <c r="AB278" s="222"/>
      <c r="AC278" s="222"/>
      <c r="AD278" s="222"/>
      <c r="AE278" s="222"/>
      <c r="AF278" s="222"/>
      <c r="AG278" s="222"/>
      <c r="AH278" s="222"/>
      <c r="AI278" s="222"/>
      <c r="AJ278" s="222"/>
      <c r="AK278" s="222"/>
      <c r="AL278" s="222"/>
      <c r="AM278" s="222"/>
      <c r="AN278" s="222"/>
      <c r="AO278" s="222"/>
      <c r="AP278" s="222"/>
      <c r="AQ278" s="222"/>
      <c r="AR278" s="222"/>
      <c r="AS278" s="222"/>
      <c r="AT278" s="222"/>
      <c r="AU278" s="222"/>
      <c r="AV278" s="222"/>
      <c r="AW278" s="222"/>
      <c r="AX278" s="222"/>
      <c r="AY278" s="222"/>
      <c r="AZ278" s="222"/>
      <c r="BA278" s="222"/>
      <c r="BB278" s="222"/>
      <c r="BC278" s="222"/>
      <c r="BD278" s="222"/>
      <c r="BE278" s="222"/>
      <c r="BF278" s="222"/>
      <c r="BG278" s="222"/>
      <c r="BH278" s="222"/>
      <c r="BI278" s="222"/>
      <c r="BJ278" s="222"/>
      <c r="BK278" s="222"/>
      <c r="BL278" s="222"/>
      <c r="BM278" s="222"/>
      <c r="BN278" s="222"/>
      <c r="BO278" s="222"/>
      <c r="BP278" s="222"/>
      <c r="BQ278" s="222"/>
      <c r="BR278" s="222"/>
      <c r="BS278" s="222"/>
      <c r="BT278" s="222"/>
      <c r="BU278" s="222"/>
      <c r="BV278" s="222"/>
      <c r="BW278" s="222"/>
      <c r="BX278" s="222"/>
      <c r="BY278" s="222"/>
      <c r="BZ278" s="222"/>
      <c r="CA278" s="222"/>
      <c r="CB278" s="222"/>
      <c r="CC278" s="222"/>
      <c r="CD278" s="222"/>
      <c r="CE278" s="222"/>
      <c r="CF278" s="222"/>
      <c r="CG278" s="222"/>
      <c r="CH278" s="222"/>
      <c r="CI278" s="222"/>
      <c r="CJ278" s="222"/>
      <c r="CK278" s="222"/>
      <c r="CL278" s="222"/>
      <c r="CM278" s="222"/>
      <c r="CN278" s="222"/>
      <c r="CO278" s="222"/>
      <c r="CP278" s="222"/>
      <c r="CQ278" s="222"/>
      <c r="CR278" s="222"/>
      <c r="CS278" s="222"/>
      <c r="CT278" s="222"/>
      <c r="CU278" s="222"/>
      <c r="CV278" s="222"/>
      <c r="CW278" s="222"/>
      <c r="CX278" s="222"/>
      <c r="CY278" s="222"/>
      <c r="CZ278" s="222"/>
      <c r="DA278" s="222"/>
      <c r="DB278" s="222"/>
      <c r="DC278" s="222"/>
      <c r="DD278" s="222"/>
      <c r="DE278" s="222"/>
      <c r="DF278" s="222"/>
      <c r="DG278" s="222"/>
      <c r="DH278" s="222"/>
      <c r="DI278" s="222"/>
      <c r="DJ278" s="222"/>
      <c r="DK278" s="222"/>
      <c r="DL278" s="222"/>
      <c r="DM278" s="222"/>
      <c r="DN278" s="222"/>
      <c r="DO278" s="222"/>
      <c r="DP278" s="222"/>
      <c r="DQ278" s="222"/>
      <c r="DR278" s="222"/>
      <c r="DS278" s="222"/>
      <c r="DT278" s="222"/>
      <c r="DU278" s="222"/>
      <c r="DV278" s="222"/>
      <c r="DW278" s="222"/>
      <c r="DX278" s="222"/>
      <c r="DY278" s="222"/>
      <c r="DZ278" s="222"/>
      <c r="EA278" s="222"/>
      <c r="EB278" s="222"/>
      <c r="EC278" s="222"/>
      <c r="ED278" s="222"/>
      <c r="EE278" s="222"/>
      <c r="EF278" s="222"/>
      <c r="EG278" s="222"/>
      <c r="EH278" s="222"/>
      <c r="EI278" s="222"/>
      <c r="EJ278" s="222"/>
      <c r="EK278" s="222"/>
      <c r="EL278" s="222"/>
      <c r="EM278" s="222"/>
      <c r="EN278" s="222"/>
      <c r="EO278" s="222"/>
      <c r="EP278" s="222"/>
      <c r="EQ278" s="222"/>
      <c r="ER278" s="222"/>
      <c r="ES278" s="222"/>
      <c r="ET278" s="222"/>
      <c r="EU278" s="222"/>
      <c r="EV278" s="222"/>
      <c r="EW278" s="222"/>
      <c r="EX278" s="222"/>
      <c r="EY278" s="222"/>
      <c r="EZ278" s="222"/>
      <c r="FA278" s="222"/>
      <c r="FB278" s="222"/>
      <c r="FC278" s="222"/>
      <c r="FD278" s="222"/>
      <c r="FE278" s="222"/>
      <c r="FF278" s="222"/>
      <c r="FG278" s="222"/>
      <c r="FH278" s="222"/>
      <c r="FI278" s="222"/>
      <c r="FJ278" s="222"/>
      <c r="FK278" s="222"/>
      <c r="FL278" s="222"/>
      <c r="FM278" s="222"/>
      <c r="FN278" s="222"/>
      <c r="FO278" s="222"/>
      <c r="FP278" s="222"/>
      <c r="FQ278" s="222"/>
      <c r="FR278" s="222"/>
      <c r="FS278" s="222"/>
      <c r="FT278" s="222"/>
      <c r="FU278" s="222"/>
      <c r="FV278" s="222"/>
      <c r="FW278" s="222"/>
      <c r="FX278" s="222"/>
      <c r="FY278" s="222"/>
      <c r="FZ278" s="222"/>
      <c r="GA278" s="222"/>
      <c r="GB278" s="222"/>
      <c r="GC278" s="222"/>
      <c r="GD278" s="222"/>
      <c r="GE278" s="222"/>
      <c r="GF278" s="222"/>
      <c r="GG278" s="222"/>
      <c r="GH278" s="222"/>
      <c r="GI278" s="222"/>
      <c r="GJ278" s="222"/>
      <c r="GK278" s="222"/>
      <c r="GL278" s="222"/>
      <c r="GM278" s="222"/>
      <c r="GN278" s="222"/>
      <c r="GO278" s="222"/>
      <c r="GP278" s="222"/>
      <c r="GQ278" s="222"/>
      <c r="GR278" s="222"/>
      <c r="GS278" s="222"/>
      <c r="GT278" s="222"/>
      <c r="GU278" s="222"/>
      <c r="GV278" s="222"/>
      <c r="GW278" s="222"/>
      <c r="GX278" s="222"/>
      <c r="GY278" s="222"/>
      <c r="GZ278" s="222"/>
      <c r="HA278" s="222"/>
      <c r="HB278" s="222"/>
      <c r="HC278" s="222"/>
      <c r="HD278" s="222"/>
      <c r="HE278" s="222"/>
      <c r="HF278" s="222"/>
      <c r="HG278" s="222"/>
      <c r="HH278" s="222"/>
      <c r="HI278" s="222"/>
      <c r="HJ278" s="222"/>
      <c r="HK278" s="222"/>
      <c r="HL278" s="222"/>
      <c r="HM278" s="222"/>
      <c r="HN278" s="222"/>
      <c r="HO278" s="222"/>
      <c r="HP278" s="222"/>
      <c r="HQ278" s="222"/>
      <c r="HR278" s="222"/>
      <c r="HS278" s="222"/>
      <c r="HT278" s="222"/>
      <c r="HU278" s="222"/>
      <c r="HV278" s="222"/>
      <c r="HW278" s="222"/>
    </row>
    <row r="279" spans="1:231" s="235" customFormat="1" ht="15.75">
      <c r="A279" s="175" t="s">
        <v>897</v>
      </c>
      <c r="B279" s="232" t="s">
        <v>536</v>
      </c>
      <c r="C279" s="449"/>
      <c r="D279" s="178"/>
      <c r="E279" s="178"/>
      <c r="F279" s="234"/>
      <c r="G279" s="205"/>
      <c r="H279" s="205"/>
      <c r="I279" s="450"/>
      <c r="J279" s="450"/>
      <c r="K279" s="104"/>
      <c r="L279" s="104"/>
      <c r="M279" s="201"/>
      <c r="P279" s="172">
        <f t="shared" si="25"/>
        <v>0</v>
      </c>
      <c r="Q279" s="172">
        <f t="shared" si="26"/>
        <v>0</v>
      </c>
    </row>
    <row r="280" spans="1:231" s="235" customFormat="1" ht="31.5">
      <c r="A280" s="10">
        <v>1</v>
      </c>
      <c r="B280" s="62" t="s">
        <v>1053</v>
      </c>
      <c r="C280" s="2" t="s">
        <v>44</v>
      </c>
      <c r="D280" s="3">
        <v>2018</v>
      </c>
      <c r="E280" s="3">
        <v>2020</v>
      </c>
      <c r="F280" s="224" t="s">
        <v>595</v>
      </c>
      <c r="G280" s="35">
        <v>1200</v>
      </c>
      <c r="H280" s="35">
        <v>1200</v>
      </c>
      <c r="I280" s="35">
        <v>30</v>
      </c>
      <c r="J280" s="35">
        <v>30</v>
      </c>
      <c r="K280" s="238">
        <v>1050</v>
      </c>
      <c r="L280" s="36" t="s">
        <v>1054</v>
      </c>
      <c r="M280" s="221"/>
      <c r="P280" s="172">
        <f t="shared" si="25"/>
        <v>1080</v>
      </c>
      <c r="Q280" s="172">
        <f t="shared" si="26"/>
        <v>1080</v>
      </c>
    </row>
    <row r="281" spans="1:231" s="235" customFormat="1" ht="31.5">
      <c r="A281" s="10">
        <v>2</v>
      </c>
      <c r="B281" s="62" t="s">
        <v>316</v>
      </c>
      <c r="C281" s="2" t="s">
        <v>26</v>
      </c>
      <c r="D281" s="3">
        <v>2018</v>
      </c>
      <c r="E281" s="3">
        <v>2020</v>
      </c>
      <c r="F281" s="224" t="s">
        <v>531</v>
      </c>
      <c r="G281" s="35">
        <v>1650</v>
      </c>
      <c r="H281" s="35">
        <v>1650</v>
      </c>
      <c r="I281" s="35">
        <v>30</v>
      </c>
      <c r="J281" s="35">
        <v>30</v>
      </c>
      <c r="K281" s="238">
        <v>1455</v>
      </c>
      <c r="L281" s="239" t="s">
        <v>1055</v>
      </c>
      <c r="M281" s="240"/>
      <c r="P281" s="172">
        <f t="shared" si="25"/>
        <v>1485</v>
      </c>
      <c r="Q281" s="172">
        <f t="shared" si="26"/>
        <v>1485</v>
      </c>
    </row>
    <row r="282" spans="1:231" s="235" customFormat="1" ht="31.5">
      <c r="A282" s="10">
        <v>3</v>
      </c>
      <c r="B282" s="62" t="s">
        <v>605</v>
      </c>
      <c r="C282" s="2" t="s">
        <v>46</v>
      </c>
      <c r="D282" s="3">
        <v>2018</v>
      </c>
      <c r="E282" s="3">
        <v>2020</v>
      </c>
      <c r="F282" s="224" t="s">
        <v>753</v>
      </c>
      <c r="G282" s="35">
        <v>4000</v>
      </c>
      <c r="H282" s="35">
        <v>4000</v>
      </c>
      <c r="I282" s="35">
        <v>0</v>
      </c>
      <c r="J282" s="35">
        <v>0</v>
      </c>
      <c r="K282" s="238">
        <v>1080</v>
      </c>
      <c r="L282" s="239" t="s">
        <v>1056</v>
      </c>
      <c r="M282" s="240"/>
      <c r="P282" s="172">
        <f t="shared" si="25"/>
        <v>1080</v>
      </c>
      <c r="Q282" s="172">
        <f t="shared" si="26"/>
        <v>1080</v>
      </c>
    </row>
    <row r="283" spans="1:231" s="235" customFormat="1" ht="25.5">
      <c r="A283" s="10">
        <v>4</v>
      </c>
      <c r="B283" s="62" t="s">
        <v>337</v>
      </c>
      <c r="C283" s="2" t="s">
        <v>46</v>
      </c>
      <c r="D283" s="3">
        <v>2018</v>
      </c>
      <c r="E283" s="3">
        <v>2020</v>
      </c>
      <c r="F283" s="224" t="s">
        <v>764</v>
      </c>
      <c r="G283" s="35">
        <v>26142</v>
      </c>
      <c r="H283" s="35">
        <v>10000</v>
      </c>
      <c r="I283" s="35">
        <v>0</v>
      </c>
      <c r="J283" s="35">
        <v>0</v>
      </c>
      <c r="K283" s="238">
        <v>3000</v>
      </c>
      <c r="L283" s="36" t="s">
        <v>963</v>
      </c>
      <c r="M283" s="221"/>
      <c r="P283" s="172">
        <f t="shared" si="25"/>
        <v>3000</v>
      </c>
      <c r="Q283" s="172">
        <f t="shared" si="26"/>
        <v>3000</v>
      </c>
    </row>
    <row r="284" spans="1:231" s="448" customFormat="1" ht="15.75">
      <c r="A284" s="19" t="s">
        <v>472</v>
      </c>
      <c r="B284" s="445" t="s">
        <v>561</v>
      </c>
      <c r="C284" s="446"/>
      <c r="D284" s="21"/>
      <c r="E284" s="21"/>
      <c r="F284" s="447"/>
      <c r="G284" s="20">
        <f>SUBTOTAL(109,G285:G296)</f>
        <v>88083</v>
      </c>
      <c r="H284" s="20">
        <f>SUBTOTAL(109,H285:H296)</f>
        <v>64269</v>
      </c>
      <c r="I284" s="20">
        <f>SUBTOTAL(109,I285:I296)</f>
        <v>20831</v>
      </c>
      <c r="J284" s="20">
        <f>SUBTOTAL(109,J285:J296)</f>
        <v>10831</v>
      </c>
      <c r="K284" s="20">
        <f>SUBTOTAL(109,K285:K296)</f>
        <v>16000</v>
      </c>
      <c r="L284" s="20"/>
      <c r="M284" s="320"/>
      <c r="N284" s="222"/>
      <c r="O284" s="222"/>
      <c r="P284" s="172">
        <f t="shared" si="25"/>
        <v>36831</v>
      </c>
      <c r="Q284" s="172">
        <f t="shared" si="26"/>
        <v>26831</v>
      </c>
      <c r="R284" s="222"/>
      <c r="S284" s="222"/>
      <c r="T284" s="222"/>
      <c r="U284" s="222"/>
      <c r="V284" s="222"/>
      <c r="W284" s="222"/>
      <c r="X284" s="222"/>
      <c r="Y284" s="222"/>
      <c r="Z284" s="222"/>
      <c r="AA284" s="222"/>
      <c r="AB284" s="222"/>
      <c r="AC284" s="222"/>
      <c r="AD284" s="222"/>
      <c r="AE284" s="222"/>
      <c r="AF284" s="222"/>
      <c r="AG284" s="222"/>
      <c r="AH284" s="222"/>
      <c r="AI284" s="222"/>
      <c r="AJ284" s="222"/>
      <c r="AK284" s="222"/>
      <c r="AL284" s="222"/>
      <c r="AM284" s="222"/>
      <c r="AN284" s="222"/>
      <c r="AO284" s="222"/>
      <c r="AP284" s="222"/>
      <c r="AQ284" s="222"/>
      <c r="AR284" s="222"/>
      <c r="AS284" s="222"/>
      <c r="AT284" s="222"/>
      <c r="AU284" s="222"/>
      <c r="AV284" s="222"/>
      <c r="AW284" s="222"/>
      <c r="AX284" s="222"/>
      <c r="AY284" s="222"/>
      <c r="AZ284" s="222"/>
      <c r="BA284" s="222"/>
      <c r="BB284" s="222"/>
      <c r="BC284" s="222"/>
      <c r="BD284" s="222"/>
      <c r="BE284" s="222"/>
      <c r="BF284" s="222"/>
      <c r="BG284" s="222"/>
      <c r="BH284" s="222"/>
      <c r="BI284" s="222"/>
      <c r="BJ284" s="222"/>
      <c r="BK284" s="222"/>
      <c r="BL284" s="222"/>
      <c r="BM284" s="222"/>
      <c r="BN284" s="222"/>
      <c r="BO284" s="222"/>
      <c r="BP284" s="222"/>
      <c r="BQ284" s="222"/>
      <c r="BR284" s="222"/>
      <c r="BS284" s="222"/>
      <c r="BT284" s="222"/>
      <c r="BU284" s="222"/>
      <c r="BV284" s="222"/>
      <c r="BW284" s="222"/>
      <c r="BX284" s="222"/>
      <c r="BY284" s="222"/>
      <c r="BZ284" s="222"/>
      <c r="CA284" s="222"/>
      <c r="CB284" s="222"/>
      <c r="CC284" s="222"/>
      <c r="CD284" s="222"/>
      <c r="CE284" s="222"/>
      <c r="CF284" s="222"/>
      <c r="CG284" s="222"/>
      <c r="CH284" s="222"/>
      <c r="CI284" s="222"/>
      <c r="CJ284" s="222"/>
      <c r="CK284" s="222"/>
      <c r="CL284" s="222"/>
      <c r="CM284" s="222"/>
      <c r="CN284" s="222"/>
      <c r="CO284" s="222"/>
      <c r="CP284" s="222"/>
      <c r="CQ284" s="222"/>
      <c r="CR284" s="222"/>
      <c r="CS284" s="222"/>
      <c r="CT284" s="222"/>
      <c r="CU284" s="222"/>
      <c r="CV284" s="222"/>
      <c r="CW284" s="222"/>
      <c r="CX284" s="222"/>
      <c r="CY284" s="222"/>
      <c r="CZ284" s="222"/>
      <c r="DA284" s="222"/>
      <c r="DB284" s="222"/>
      <c r="DC284" s="222"/>
      <c r="DD284" s="222"/>
      <c r="DE284" s="222"/>
      <c r="DF284" s="222"/>
      <c r="DG284" s="222"/>
      <c r="DH284" s="222"/>
      <c r="DI284" s="222"/>
      <c r="DJ284" s="222"/>
      <c r="DK284" s="222"/>
      <c r="DL284" s="222"/>
      <c r="DM284" s="222"/>
      <c r="DN284" s="222"/>
      <c r="DO284" s="222"/>
      <c r="DP284" s="222"/>
      <c r="DQ284" s="222"/>
      <c r="DR284" s="222"/>
      <c r="DS284" s="222"/>
      <c r="DT284" s="222"/>
      <c r="DU284" s="222"/>
      <c r="DV284" s="222"/>
      <c r="DW284" s="222"/>
      <c r="DX284" s="222"/>
      <c r="DY284" s="222"/>
      <c r="DZ284" s="222"/>
      <c r="EA284" s="222"/>
      <c r="EB284" s="222"/>
      <c r="EC284" s="222"/>
      <c r="ED284" s="222"/>
      <c r="EE284" s="222"/>
      <c r="EF284" s="222"/>
      <c r="EG284" s="222"/>
      <c r="EH284" s="222"/>
      <c r="EI284" s="222"/>
      <c r="EJ284" s="222"/>
      <c r="EK284" s="222"/>
      <c r="EL284" s="222"/>
      <c r="EM284" s="222"/>
      <c r="EN284" s="222"/>
      <c r="EO284" s="222"/>
      <c r="EP284" s="222"/>
      <c r="EQ284" s="222"/>
      <c r="ER284" s="222"/>
      <c r="ES284" s="222"/>
      <c r="ET284" s="222"/>
      <c r="EU284" s="222"/>
      <c r="EV284" s="222"/>
      <c r="EW284" s="222"/>
      <c r="EX284" s="222"/>
      <c r="EY284" s="222"/>
      <c r="EZ284" s="222"/>
      <c r="FA284" s="222"/>
      <c r="FB284" s="222"/>
      <c r="FC284" s="222"/>
      <c r="FD284" s="222"/>
      <c r="FE284" s="222"/>
      <c r="FF284" s="222"/>
      <c r="FG284" s="222"/>
      <c r="FH284" s="222"/>
      <c r="FI284" s="222"/>
      <c r="FJ284" s="222"/>
      <c r="FK284" s="222"/>
      <c r="FL284" s="222"/>
      <c r="FM284" s="222"/>
      <c r="FN284" s="222"/>
      <c r="FO284" s="222"/>
      <c r="FP284" s="222"/>
      <c r="FQ284" s="222"/>
      <c r="FR284" s="222"/>
      <c r="FS284" s="222"/>
      <c r="FT284" s="222"/>
      <c r="FU284" s="222"/>
      <c r="FV284" s="222"/>
      <c r="FW284" s="222"/>
      <c r="FX284" s="222"/>
      <c r="FY284" s="222"/>
      <c r="FZ284" s="222"/>
      <c r="GA284" s="222"/>
      <c r="GB284" s="222"/>
      <c r="GC284" s="222"/>
      <c r="GD284" s="222"/>
      <c r="GE284" s="222"/>
      <c r="GF284" s="222"/>
      <c r="GG284" s="222"/>
      <c r="GH284" s="222"/>
      <c r="GI284" s="222"/>
      <c r="GJ284" s="222"/>
      <c r="GK284" s="222"/>
      <c r="GL284" s="222"/>
      <c r="GM284" s="222"/>
      <c r="GN284" s="222"/>
      <c r="GO284" s="222"/>
      <c r="GP284" s="222"/>
      <c r="GQ284" s="222"/>
      <c r="GR284" s="222"/>
      <c r="GS284" s="222"/>
      <c r="GT284" s="222"/>
      <c r="GU284" s="222"/>
      <c r="GV284" s="222"/>
      <c r="GW284" s="222"/>
      <c r="GX284" s="222"/>
      <c r="GY284" s="222"/>
      <c r="GZ284" s="222"/>
      <c r="HA284" s="222"/>
      <c r="HB284" s="222"/>
      <c r="HC284" s="222"/>
      <c r="HD284" s="222"/>
      <c r="HE284" s="222"/>
      <c r="HF284" s="222"/>
      <c r="HG284" s="222"/>
      <c r="HH284" s="222"/>
      <c r="HI284" s="222"/>
      <c r="HJ284" s="222"/>
      <c r="HK284" s="222"/>
      <c r="HL284" s="222"/>
      <c r="HM284" s="222"/>
      <c r="HN284" s="222"/>
      <c r="HO284" s="222"/>
      <c r="HP284" s="222"/>
      <c r="HQ284" s="222"/>
      <c r="HR284" s="222"/>
      <c r="HS284" s="222"/>
      <c r="HT284" s="222"/>
      <c r="HU284" s="222"/>
      <c r="HV284" s="222"/>
      <c r="HW284" s="222"/>
    </row>
    <row r="285" spans="1:231" s="454" customFormat="1" ht="15.75">
      <c r="A285" s="175" t="s">
        <v>821</v>
      </c>
      <c r="B285" s="451" t="s">
        <v>1057</v>
      </c>
      <c r="C285" s="452"/>
      <c r="D285" s="178"/>
      <c r="E285" s="178"/>
      <c r="F285" s="453"/>
      <c r="G285" s="104">
        <f>SUBTOTAL(109,G286:G287)</f>
        <v>40297</v>
      </c>
      <c r="H285" s="104">
        <f t="shared" ref="H285:K285" si="27">SUBTOTAL(109,H286:H287)</f>
        <v>24894</v>
      </c>
      <c r="I285" s="104">
        <f t="shared" si="27"/>
        <v>16771</v>
      </c>
      <c r="J285" s="104">
        <f t="shared" si="27"/>
        <v>6771</v>
      </c>
      <c r="K285" s="104">
        <f t="shared" si="27"/>
        <v>4403</v>
      </c>
      <c r="L285" s="104"/>
      <c r="M285" s="201"/>
      <c r="P285" s="172">
        <f t="shared" si="25"/>
        <v>21174</v>
      </c>
      <c r="Q285" s="172">
        <f t="shared" si="26"/>
        <v>11174</v>
      </c>
    </row>
    <row r="286" spans="1:231" s="244" customFormat="1" ht="31.5">
      <c r="A286" s="10">
        <v>1</v>
      </c>
      <c r="B286" s="100" t="s">
        <v>18</v>
      </c>
      <c r="C286" s="231" t="s">
        <v>33</v>
      </c>
      <c r="D286" s="3">
        <v>2015</v>
      </c>
      <c r="E286" s="3">
        <v>2018</v>
      </c>
      <c r="F286" s="455" t="s">
        <v>19</v>
      </c>
      <c r="G286" s="456">
        <v>33248</v>
      </c>
      <c r="H286" s="456">
        <v>17845</v>
      </c>
      <c r="I286" s="456">
        <v>12771</v>
      </c>
      <c r="J286" s="456">
        <v>2771</v>
      </c>
      <c r="K286" s="456">
        <v>1354</v>
      </c>
      <c r="L286" s="239" t="s">
        <v>1058</v>
      </c>
      <c r="M286" s="240"/>
      <c r="P286" s="172">
        <f t="shared" si="25"/>
        <v>14125</v>
      </c>
      <c r="Q286" s="172">
        <f t="shared" si="26"/>
        <v>4125</v>
      </c>
    </row>
    <row r="287" spans="1:231" s="244" customFormat="1" ht="47.25">
      <c r="A287" s="10">
        <v>2</v>
      </c>
      <c r="B287" s="100" t="s">
        <v>1059</v>
      </c>
      <c r="C287" s="101" t="s">
        <v>9</v>
      </c>
      <c r="D287" s="3">
        <v>2017</v>
      </c>
      <c r="E287" s="3">
        <v>2018</v>
      </c>
      <c r="F287" s="455" t="s">
        <v>535</v>
      </c>
      <c r="G287" s="456">
        <v>7049</v>
      </c>
      <c r="H287" s="456">
        <f>G287</f>
        <v>7049</v>
      </c>
      <c r="I287" s="456">
        <v>4000</v>
      </c>
      <c r="J287" s="456">
        <v>4000</v>
      </c>
      <c r="K287" s="456">
        <v>3049</v>
      </c>
      <c r="L287" s="239" t="s">
        <v>1060</v>
      </c>
      <c r="M287" s="240"/>
      <c r="P287" s="172">
        <f t="shared" si="25"/>
        <v>7049</v>
      </c>
      <c r="Q287" s="172">
        <f t="shared" si="26"/>
        <v>7049</v>
      </c>
    </row>
    <row r="288" spans="1:231" s="454" customFormat="1" ht="15.75">
      <c r="A288" s="175" t="s">
        <v>825</v>
      </c>
      <c r="B288" s="451" t="s">
        <v>533</v>
      </c>
      <c r="C288" s="449"/>
      <c r="D288" s="178"/>
      <c r="E288" s="178"/>
      <c r="F288" s="453"/>
      <c r="G288" s="104">
        <f>SUBTOTAL(109,G289:G291)</f>
        <v>15057</v>
      </c>
      <c r="H288" s="104">
        <f t="shared" ref="H288:K288" si="28">SUBTOTAL(109,H289:H291)</f>
        <v>13675</v>
      </c>
      <c r="I288" s="104">
        <f t="shared" si="28"/>
        <v>3900</v>
      </c>
      <c r="J288" s="104">
        <f t="shared" si="28"/>
        <v>3900</v>
      </c>
      <c r="K288" s="104">
        <f t="shared" si="28"/>
        <v>4676</v>
      </c>
      <c r="L288" s="104"/>
      <c r="M288" s="201"/>
      <c r="P288" s="172">
        <f t="shared" si="25"/>
        <v>8576</v>
      </c>
      <c r="Q288" s="172">
        <f t="shared" si="26"/>
        <v>8576</v>
      </c>
    </row>
    <row r="289" spans="1:231" s="244" customFormat="1" ht="54" customHeight="1">
      <c r="A289" s="10">
        <v>1</v>
      </c>
      <c r="B289" s="103" t="s">
        <v>20</v>
      </c>
      <c r="C289" s="101" t="s">
        <v>10</v>
      </c>
      <c r="D289" s="3">
        <v>2017</v>
      </c>
      <c r="E289" s="3">
        <v>2019</v>
      </c>
      <c r="F289" s="455" t="s">
        <v>1061</v>
      </c>
      <c r="G289" s="456">
        <v>6612</v>
      </c>
      <c r="H289" s="456">
        <f>G289</f>
        <v>6612</v>
      </c>
      <c r="I289" s="456">
        <v>1650</v>
      </c>
      <c r="J289" s="456">
        <v>1650</v>
      </c>
      <c r="K289" s="456">
        <v>2151</v>
      </c>
      <c r="L289" s="239" t="s">
        <v>1062</v>
      </c>
      <c r="M289" s="240"/>
      <c r="P289" s="172">
        <f t="shared" si="25"/>
        <v>3801</v>
      </c>
      <c r="Q289" s="172">
        <f t="shared" si="26"/>
        <v>3801</v>
      </c>
    </row>
    <row r="290" spans="1:231" s="244" customFormat="1" ht="44.25" customHeight="1">
      <c r="A290" s="10">
        <v>2</v>
      </c>
      <c r="B290" s="55" t="s">
        <v>22</v>
      </c>
      <c r="C290" s="101" t="s">
        <v>10</v>
      </c>
      <c r="D290" s="3">
        <v>2017</v>
      </c>
      <c r="E290" s="3">
        <v>2019</v>
      </c>
      <c r="F290" s="457" t="s">
        <v>23</v>
      </c>
      <c r="G290" s="456">
        <v>5063</v>
      </c>
      <c r="H290" s="456">
        <v>5063</v>
      </c>
      <c r="I290" s="456">
        <v>1350</v>
      </c>
      <c r="J290" s="456">
        <v>1350</v>
      </c>
      <c r="K290" s="458">
        <v>1625</v>
      </c>
      <c r="L290" s="239" t="s">
        <v>1063</v>
      </c>
      <c r="M290" s="240" t="s">
        <v>1064</v>
      </c>
      <c r="P290" s="172">
        <f t="shared" si="25"/>
        <v>2975</v>
      </c>
      <c r="Q290" s="172">
        <f t="shared" si="26"/>
        <v>2975</v>
      </c>
    </row>
    <row r="291" spans="1:231" s="244" customFormat="1" ht="47.25">
      <c r="A291" s="10">
        <v>3</v>
      </c>
      <c r="B291" s="102" t="s">
        <v>24</v>
      </c>
      <c r="C291" s="101" t="s">
        <v>9</v>
      </c>
      <c r="D291" s="3">
        <v>2017</v>
      </c>
      <c r="E291" s="3">
        <v>2019</v>
      </c>
      <c r="F291" s="242" t="s">
        <v>25</v>
      </c>
      <c r="G291" s="456">
        <v>3382</v>
      </c>
      <c r="H291" s="456">
        <v>2000</v>
      </c>
      <c r="I291" s="456">
        <v>900</v>
      </c>
      <c r="J291" s="456">
        <v>900</v>
      </c>
      <c r="K291" s="456">
        <v>900</v>
      </c>
      <c r="L291" s="239" t="s">
        <v>1065</v>
      </c>
      <c r="M291" s="240"/>
      <c r="P291" s="172">
        <f t="shared" si="25"/>
        <v>1800</v>
      </c>
      <c r="Q291" s="172">
        <f t="shared" si="26"/>
        <v>1800</v>
      </c>
    </row>
    <row r="292" spans="1:231" s="454" customFormat="1" ht="15.75">
      <c r="A292" s="175" t="s">
        <v>897</v>
      </c>
      <c r="B292" s="451" t="s">
        <v>593</v>
      </c>
      <c r="C292" s="449"/>
      <c r="D292" s="178"/>
      <c r="E292" s="178"/>
      <c r="F292" s="453"/>
      <c r="G292" s="104">
        <f>SUBTOTAL(109,G293:G296)</f>
        <v>32729</v>
      </c>
      <c r="H292" s="104">
        <f t="shared" ref="H292:K292" si="29">SUBTOTAL(109,H293:H296)</f>
        <v>25700</v>
      </c>
      <c r="I292" s="104">
        <f t="shared" si="29"/>
        <v>160</v>
      </c>
      <c r="J292" s="104">
        <f t="shared" si="29"/>
        <v>160</v>
      </c>
      <c r="K292" s="104">
        <f t="shared" si="29"/>
        <v>6921</v>
      </c>
      <c r="L292" s="104"/>
      <c r="M292" s="201"/>
      <c r="P292" s="172">
        <f t="shared" si="25"/>
        <v>7081</v>
      </c>
      <c r="Q292" s="172">
        <f t="shared" si="26"/>
        <v>7081</v>
      </c>
    </row>
    <row r="293" spans="1:231" s="244" customFormat="1" ht="31.5">
      <c r="A293" s="22">
        <v>1</v>
      </c>
      <c r="B293" s="26" t="s">
        <v>1066</v>
      </c>
      <c r="C293" s="101" t="s">
        <v>49</v>
      </c>
      <c r="D293" s="3">
        <v>2018</v>
      </c>
      <c r="E293" s="3">
        <v>2020</v>
      </c>
      <c r="F293" s="242" t="s">
        <v>1067</v>
      </c>
      <c r="G293" s="456">
        <v>18029</v>
      </c>
      <c r="H293" s="456">
        <v>11000</v>
      </c>
      <c r="I293" s="456">
        <v>0</v>
      </c>
      <c r="J293" s="456">
        <v>0</v>
      </c>
      <c r="K293" s="456">
        <v>3000</v>
      </c>
      <c r="L293" s="239" t="s">
        <v>1068</v>
      </c>
      <c r="M293" s="240"/>
      <c r="P293" s="172">
        <f t="shared" si="25"/>
        <v>3000</v>
      </c>
      <c r="Q293" s="172">
        <f t="shared" si="26"/>
        <v>3000</v>
      </c>
    </row>
    <row r="294" spans="1:231" s="244" customFormat="1" ht="31.5">
      <c r="A294" s="22">
        <v>2</v>
      </c>
      <c r="B294" s="105" t="s">
        <v>1069</v>
      </c>
      <c r="C294" s="101" t="s">
        <v>33</v>
      </c>
      <c r="D294" s="3">
        <v>2018</v>
      </c>
      <c r="E294" s="3">
        <v>2020</v>
      </c>
      <c r="F294" s="242" t="s">
        <v>768</v>
      </c>
      <c r="G294" s="456">
        <v>5500</v>
      </c>
      <c r="H294" s="456">
        <v>5500</v>
      </c>
      <c r="I294" s="456">
        <v>60</v>
      </c>
      <c r="J294" s="456">
        <v>60</v>
      </c>
      <c r="K294" s="456">
        <v>1467</v>
      </c>
      <c r="L294" s="239" t="s">
        <v>1070</v>
      </c>
      <c r="M294" s="240"/>
      <c r="P294" s="172">
        <f t="shared" si="25"/>
        <v>1527</v>
      </c>
      <c r="Q294" s="172">
        <f t="shared" si="26"/>
        <v>1527</v>
      </c>
    </row>
    <row r="295" spans="1:231" s="244" customFormat="1" ht="31.5">
      <c r="A295" s="22">
        <v>3</v>
      </c>
      <c r="B295" s="1" t="s">
        <v>1071</v>
      </c>
      <c r="C295" s="101" t="s">
        <v>9</v>
      </c>
      <c r="D295" s="3">
        <v>2018</v>
      </c>
      <c r="E295" s="3">
        <v>2020</v>
      </c>
      <c r="F295" s="242" t="s">
        <v>743</v>
      </c>
      <c r="G295" s="456">
        <v>4200</v>
      </c>
      <c r="H295" s="456">
        <v>4200</v>
      </c>
      <c r="I295" s="456">
        <v>40</v>
      </c>
      <c r="J295" s="456">
        <v>40</v>
      </c>
      <c r="K295" s="456">
        <v>1122</v>
      </c>
      <c r="L295" s="239" t="s">
        <v>1072</v>
      </c>
      <c r="M295" s="240"/>
      <c r="P295" s="172">
        <f t="shared" si="25"/>
        <v>1162</v>
      </c>
      <c r="Q295" s="172">
        <f t="shared" si="26"/>
        <v>1162</v>
      </c>
    </row>
    <row r="296" spans="1:231" s="244" customFormat="1" ht="31.5">
      <c r="A296" s="22">
        <v>4</v>
      </c>
      <c r="B296" s="106" t="s">
        <v>540</v>
      </c>
      <c r="C296" s="101" t="s">
        <v>46</v>
      </c>
      <c r="D296" s="3">
        <v>2018</v>
      </c>
      <c r="E296" s="3">
        <v>2020</v>
      </c>
      <c r="F296" s="242" t="s">
        <v>1073</v>
      </c>
      <c r="G296" s="456">
        <v>5000</v>
      </c>
      <c r="H296" s="456">
        <v>5000</v>
      </c>
      <c r="I296" s="456">
        <v>60</v>
      </c>
      <c r="J296" s="456">
        <v>60</v>
      </c>
      <c r="K296" s="456">
        <v>1332</v>
      </c>
      <c r="L296" s="239" t="s">
        <v>1074</v>
      </c>
      <c r="M296" s="240"/>
      <c r="P296" s="172">
        <f t="shared" si="25"/>
        <v>1392</v>
      </c>
      <c r="Q296" s="172">
        <f t="shared" si="26"/>
        <v>1392</v>
      </c>
    </row>
    <row r="297" spans="1:231" s="222" customFormat="1" ht="15.75">
      <c r="A297" s="19" t="s">
        <v>1075</v>
      </c>
      <c r="B297" s="459" t="s">
        <v>1076</v>
      </c>
      <c r="C297" s="141"/>
      <c r="D297" s="21"/>
      <c r="E297" s="21"/>
      <c r="F297" s="241"/>
      <c r="G297" s="20">
        <f>SUBTOTAL(109,G298:G316)</f>
        <v>850213</v>
      </c>
      <c r="H297" s="20">
        <f t="shared" ref="H297:K297" si="30">SUBTOTAL(109,H298:H316)</f>
        <v>337688</v>
      </c>
      <c r="I297" s="20">
        <f t="shared" si="30"/>
        <v>233727</v>
      </c>
      <c r="J297" s="20">
        <f t="shared" si="30"/>
        <v>68976</v>
      </c>
      <c r="K297" s="20">
        <f t="shared" si="30"/>
        <v>42500</v>
      </c>
      <c r="L297" s="38"/>
      <c r="M297" s="167"/>
      <c r="N297" s="266"/>
      <c r="O297" s="266"/>
      <c r="P297" s="172">
        <f t="shared" si="25"/>
        <v>276227</v>
      </c>
      <c r="Q297" s="172">
        <f t="shared" si="26"/>
        <v>111476</v>
      </c>
      <c r="R297" s="266"/>
      <c r="S297" s="266"/>
      <c r="T297" s="266"/>
      <c r="U297" s="266"/>
      <c r="V297" s="266"/>
      <c r="W297" s="266"/>
      <c r="X297" s="266"/>
      <c r="Y297" s="266"/>
      <c r="Z297" s="266"/>
      <c r="AA297" s="266"/>
      <c r="AB297" s="266"/>
      <c r="AC297" s="266"/>
      <c r="AD297" s="266"/>
      <c r="AE297" s="266"/>
      <c r="AF297" s="266"/>
      <c r="AG297" s="266"/>
      <c r="AH297" s="266"/>
      <c r="AI297" s="266"/>
      <c r="AJ297" s="266"/>
      <c r="AK297" s="266"/>
      <c r="AL297" s="266"/>
      <c r="AM297" s="266"/>
      <c r="AN297" s="266"/>
      <c r="AO297" s="266"/>
      <c r="AP297" s="266"/>
      <c r="AQ297" s="266"/>
      <c r="AR297" s="266"/>
      <c r="AS297" s="266"/>
      <c r="AT297" s="266"/>
      <c r="AU297" s="266"/>
      <c r="AV297" s="266"/>
      <c r="AW297" s="266"/>
      <c r="AX297" s="266"/>
      <c r="AY297" s="266"/>
      <c r="AZ297" s="266"/>
      <c r="BA297" s="266"/>
      <c r="BB297" s="266"/>
      <c r="BC297" s="266"/>
      <c r="BD297" s="266"/>
      <c r="BE297" s="266"/>
      <c r="BF297" s="266"/>
      <c r="BG297" s="266"/>
      <c r="BH297" s="266"/>
      <c r="BI297" s="266"/>
      <c r="BJ297" s="266"/>
      <c r="BK297" s="266"/>
      <c r="BL297" s="266"/>
      <c r="BM297" s="266"/>
      <c r="BN297" s="266"/>
      <c r="BO297" s="266"/>
      <c r="BP297" s="266"/>
      <c r="BQ297" s="266"/>
      <c r="BR297" s="266"/>
      <c r="BS297" s="266"/>
      <c r="BT297" s="266"/>
      <c r="BU297" s="266"/>
      <c r="BV297" s="266"/>
      <c r="BW297" s="266"/>
      <c r="BX297" s="266"/>
      <c r="BY297" s="266"/>
      <c r="BZ297" s="266"/>
      <c r="CA297" s="266"/>
      <c r="CB297" s="266"/>
      <c r="CC297" s="266"/>
      <c r="CD297" s="266"/>
      <c r="CE297" s="266"/>
      <c r="CF297" s="266"/>
      <c r="CG297" s="266"/>
      <c r="CH297" s="266"/>
      <c r="CI297" s="266"/>
      <c r="CJ297" s="266"/>
      <c r="CK297" s="266"/>
      <c r="CL297" s="266"/>
      <c r="CM297" s="266"/>
      <c r="CN297" s="266"/>
      <c r="CO297" s="266"/>
      <c r="CP297" s="266"/>
      <c r="CQ297" s="266"/>
      <c r="CR297" s="266"/>
      <c r="CS297" s="266"/>
      <c r="CT297" s="266"/>
      <c r="CU297" s="266"/>
      <c r="CV297" s="266"/>
      <c r="CW297" s="266"/>
      <c r="CX297" s="266"/>
      <c r="CY297" s="266"/>
      <c r="CZ297" s="266"/>
      <c r="DA297" s="266"/>
      <c r="DB297" s="266"/>
      <c r="DC297" s="266"/>
      <c r="DD297" s="266"/>
      <c r="DE297" s="266"/>
      <c r="DF297" s="266"/>
      <c r="DG297" s="266"/>
      <c r="DH297" s="266"/>
      <c r="DI297" s="266"/>
      <c r="DJ297" s="266"/>
      <c r="DK297" s="266"/>
      <c r="DL297" s="266"/>
      <c r="DM297" s="266"/>
      <c r="DN297" s="266"/>
      <c r="DO297" s="266"/>
      <c r="DP297" s="266"/>
      <c r="DQ297" s="266"/>
      <c r="DR297" s="266"/>
      <c r="DS297" s="266"/>
      <c r="DT297" s="266"/>
      <c r="DU297" s="266"/>
      <c r="DV297" s="266"/>
      <c r="DW297" s="266"/>
      <c r="DX297" s="266"/>
      <c r="DY297" s="266"/>
      <c r="DZ297" s="266"/>
      <c r="EA297" s="266"/>
      <c r="EB297" s="266"/>
      <c r="EC297" s="266"/>
      <c r="ED297" s="266"/>
      <c r="EE297" s="266"/>
      <c r="EF297" s="266"/>
      <c r="EG297" s="266"/>
      <c r="EH297" s="266"/>
      <c r="EI297" s="266"/>
      <c r="EJ297" s="266"/>
      <c r="EK297" s="266"/>
      <c r="EL297" s="266"/>
      <c r="EM297" s="266"/>
      <c r="EN297" s="266"/>
      <c r="EO297" s="266"/>
      <c r="EP297" s="266"/>
      <c r="EQ297" s="266"/>
      <c r="ER297" s="266"/>
      <c r="ES297" s="266"/>
      <c r="ET297" s="266"/>
      <c r="EU297" s="266"/>
      <c r="EV297" s="266"/>
      <c r="EW297" s="266"/>
      <c r="EX297" s="266"/>
      <c r="EY297" s="266"/>
      <c r="EZ297" s="266"/>
      <c r="FA297" s="266"/>
      <c r="FB297" s="266"/>
      <c r="FC297" s="266"/>
      <c r="FD297" s="266"/>
      <c r="FE297" s="266"/>
      <c r="FF297" s="266"/>
      <c r="FG297" s="266"/>
      <c r="FH297" s="266"/>
      <c r="FI297" s="266"/>
      <c r="FJ297" s="266"/>
      <c r="FK297" s="266"/>
      <c r="FL297" s="266"/>
      <c r="FM297" s="266"/>
      <c r="FN297" s="266"/>
      <c r="FO297" s="266"/>
      <c r="FP297" s="266"/>
      <c r="FQ297" s="266"/>
      <c r="FR297" s="266"/>
      <c r="FS297" s="266"/>
      <c r="FT297" s="266"/>
      <c r="FU297" s="266"/>
      <c r="FV297" s="266"/>
      <c r="FW297" s="266"/>
      <c r="FX297" s="266"/>
      <c r="FY297" s="266"/>
      <c r="FZ297" s="266"/>
      <c r="GA297" s="266"/>
      <c r="GB297" s="266"/>
      <c r="GC297" s="266"/>
      <c r="GD297" s="266"/>
      <c r="GE297" s="266"/>
      <c r="GF297" s="266"/>
      <c r="GG297" s="266"/>
      <c r="GH297" s="266"/>
      <c r="GI297" s="266"/>
      <c r="GJ297" s="266"/>
      <c r="GK297" s="266"/>
      <c r="GL297" s="266"/>
      <c r="GM297" s="266"/>
      <c r="GN297" s="266"/>
      <c r="GO297" s="266"/>
      <c r="GP297" s="266"/>
      <c r="GQ297" s="266"/>
      <c r="GR297" s="266"/>
      <c r="GS297" s="266"/>
      <c r="GT297" s="266"/>
      <c r="GU297" s="266"/>
      <c r="GV297" s="266"/>
      <c r="GW297" s="266"/>
      <c r="GX297" s="266"/>
      <c r="GY297" s="266"/>
      <c r="GZ297" s="266"/>
      <c r="HA297" s="266"/>
      <c r="HB297" s="266"/>
      <c r="HC297" s="266"/>
      <c r="HD297" s="266"/>
      <c r="HE297" s="266"/>
      <c r="HF297" s="266"/>
      <c r="HG297" s="266"/>
      <c r="HH297" s="266"/>
      <c r="HI297" s="266"/>
      <c r="HJ297" s="266"/>
      <c r="HK297" s="266"/>
      <c r="HL297" s="266"/>
      <c r="HM297" s="266"/>
      <c r="HN297" s="266"/>
      <c r="HO297" s="266"/>
      <c r="HP297" s="266"/>
      <c r="HQ297" s="266"/>
      <c r="HR297" s="266"/>
      <c r="HS297" s="266"/>
      <c r="HT297" s="266"/>
      <c r="HU297" s="266"/>
      <c r="HV297" s="266"/>
      <c r="HW297" s="266"/>
    </row>
    <row r="298" spans="1:231" s="222" customFormat="1" ht="31.5">
      <c r="A298" s="19" t="s">
        <v>471</v>
      </c>
      <c r="B298" s="53" t="s">
        <v>1077</v>
      </c>
      <c r="C298" s="141"/>
      <c r="D298" s="21"/>
      <c r="E298" s="21"/>
      <c r="F298" s="241"/>
      <c r="G298" s="20">
        <f>SUBTOTAL(109,G299:G301)</f>
        <v>631296</v>
      </c>
      <c r="H298" s="20">
        <f t="shared" ref="H298:K298" si="31">SUBTOTAL(109,H299:H301)</f>
        <v>241401</v>
      </c>
      <c r="I298" s="20">
        <f t="shared" si="31"/>
        <v>169488</v>
      </c>
      <c r="J298" s="20">
        <f t="shared" si="31"/>
        <v>24737</v>
      </c>
      <c r="K298" s="20">
        <f t="shared" si="31"/>
        <v>20000</v>
      </c>
      <c r="L298" s="38"/>
      <c r="M298" s="167"/>
      <c r="N298" s="266"/>
      <c r="O298" s="266"/>
      <c r="P298" s="172">
        <f t="shared" si="25"/>
        <v>189488</v>
      </c>
      <c r="Q298" s="172">
        <f t="shared" si="26"/>
        <v>44737</v>
      </c>
      <c r="R298" s="266"/>
      <c r="S298" s="266"/>
      <c r="T298" s="266"/>
      <c r="U298" s="266"/>
      <c r="V298" s="266"/>
      <c r="W298" s="266"/>
      <c r="X298" s="266"/>
      <c r="Y298" s="266"/>
      <c r="Z298" s="266"/>
      <c r="AA298" s="266"/>
      <c r="AB298" s="266"/>
      <c r="AC298" s="266"/>
      <c r="AD298" s="266"/>
      <c r="AE298" s="266"/>
      <c r="AF298" s="266"/>
      <c r="AG298" s="266"/>
      <c r="AH298" s="266"/>
      <c r="AI298" s="266"/>
      <c r="AJ298" s="266"/>
      <c r="AK298" s="266"/>
      <c r="AL298" s="266"/>
      <c r="AM298" s="266"/>
      <c r="AN298" s="266"/>
      <c r="AO298" s="266"/>
      <c r="AP298" s="266"/>
      <c r="AQ298" s="266"/>
      <c r="AR298" s="266"/>
      <c r="AS298" s="266"/>
      <c r="AT298" s="266"/>
      <c r="AU298" s="266"/>
      <c r="AV298" s="266"/>
      <c r="AW298" s="266"/>
      <c r="AX298" s="266"/>
      <c r="AY298" s="266"/>
      <c r="AZ298" s="266"/>
      <c r="BA298" s="266"/>
      <c r="BB298" s="266"/>
      <c r="BC298" s="266"/>
      <c r="BD298" s="266"/>
      <c r="BE298" s="266"/>
      <c r="BF298" s="266"/>
      <c r="BG298" s="266"/>
      <c r="BH298" s="266"/>
      <c r="BI298" s="266"/>
      <c r="BJ298" s="266"/>
      <c r="BK298" s="266"/>
      <c r="BL298" s="266"/>
      <c r="BM298" s="266"/>
      <c r="BN298" s="266"/>
      <c r="BO298" s="266"/>
      <c r="BP298" s="266"/>
      <c r="BQ298" s="266"/>
      <c r="BR298" s="266"/>
      <c r="BS298" s="266"/>
      <c r="BT298" s="266"/>
      <c r="BU298" s="266"/>
      <c r="BV298" s="266"/>
      <c r="BW298" s="266"/>
      <c r="BX298" s="266"/>
      <c r="BY298" s="266"/>
      <c r="BZ298" s="266"/>
      <c r="CA298" s="266"/>
      <c r="CB298" s="266"/>
      <c r="CC298" s="266"/>
      <c r="CD298" s="266"/>
      <c r="CE298" s="266"/>
      <c r="CF298" s="266"/>
      <c r="CG298" s="266"/>
      <c r="CH298" s="266"/>
      <c r="CI298" s="266"/>
      <c r="CJ298" s="266"/>
      <c r="CK298" s="266"/>
      <c r="CL298" s="266"/>
      <c r="CM298" s="266"/>
      <c r="CN298" s="266"/>
      <c r="CO298" s="266"/>
      <c r="CP298" s="266"/>
      <c r="CQ298" s="266"/>
      <c r="CR298" s="266"/>
      <c r="CS298" s="266"/>
      <c r="CT298" s="266"/>
      <c r="CU298" s="266"/>
      <c r="CV298" s="266"/>
      <c r="CW298" s="266"/>
      <c r="CX298" s="266"/>
      <c r="CY298" s="266"/>
      <c r="CZ298" s="266"/>
      <c r="DA298" s="266"/>
      <c r="DB298" s="266"/>
      <c r="DC298" s="266"/>
      <c r="DD298" s="266"/>
      <c r="DE298" s="266"/>
      <c r="DF298" s="266"/>
      <c r="DG298" s="266"/>
      <c r="DH298" s="266"/>
      <c r="DI298" s="266"/>
      <c r="DJ298" s="266"/>
      <c r="DK298" s="266"/>
      <c r="DL298" s="266"/>
      <c r="DM298" s="266"/>
      <c r="DN298" s="266"/>
      <c r="DO298" s="266"/>
      <c r="DP298" s="266"/>
      <c r="DQ298" s="266"/>
      <c r="DR298" s="266"/>
      <c r="DS298" s="266"/>
      <c r="DT298" s="266"/>
      <c r="DU298" s="266"/>
      <c r="DV298" s="266"/>
      <c r="DW298" s="266"/>
      <c r="DX298" s="266"/>
      <c r="DY298" s="266"/>
      <c r="DZ298" s="266"/>
      <c r="EA298" s="266"/>
      <c r="EB298" s="266"/>
      <c r="EC298" s="266"/>
      <c r="ED298" s="266"/>
      <c r="EE298" s="266"/>
      <c r="EF298" s="266"/>
      <c r="EG298" s="266"/>
      <c r="EH298" s="266"/>
      <c r="EI298" s="266"/>
      <c r="EJ298" s="266"/>
      <c r="EK298" s="266"/>
      <c r="EL298" s="266"/>
      <c r="EM298" s="266"/>
      <c r="EN298" s="266"/>
      <c r="EO298" s="266"/>
      <c r="EP298" s="266"/>
      <c r="EQ298" s="266"/>
      <c r="ER298" s="266"/>
      <c r="ES298" s="266"/>
      <c r="ET298" s="266"/>
      <c r="EU298" s="266"/>
      <c r="EV298" s="266"/>
      <c r="EW298" s="266"/>
      <c r="EX298" s="266"/>
      <c r="EY298" s="266"/>
      <c r="EZ298" s="266"/>
      <c r="FA298" s="266"/>
      <c r="FB298" s="266"/>
      <c r="FC298" s="266"/>
      <c r="FD298" s="266"/>
      <c r="FE298" s="266"/>
      <c r="FF298" s="266"/>
      <c r="FG298" s="266"/>
      <c r="FH298" s="266"/>
      <c r="FI298" s="266"/>
      <c r="FJ298" s="266"/>
      <c r="FK298" s="266"/>
      <c r="FL298" s="266"/>
      <c r="FM298" s="266"/>
      <c r="FN298" s="266"/>
      <c r="FO298" s="266"/>
      <c r="FP298" s="266"/>
      <c r="FQ298" s="266"/>
      <c r="FR298" s="266"/>
      <c r="FS298" s="266"/>
      <c r="FT298" s="266"/>
      <c r="FU298" s="266"/>
      <c r="FV298" s="266"/>
      <c r="FW298" s="266"/>
      <c r="FX298" s="266"/>
      <c r="FY298" s="266"/>
      <c r="FZ298" s="266"/>
      <c r="GA298" s="266"/>
      <c r="GB298" s="266"/>
      <c r="GC298" s="266"/>
      <c r="GD298" s="266"/>
      <c r="GE298" s="266"/>
      <c r="GF298" s="266"/>
      <c r="GG298" s="266"/>
      <c r="GH298" s="266"/>
      <c r="GI298" s="266"/>
      <c r="GJ298" s="266"/>
      <c r="GK298" s="266"/>
      <c r="GL298" s="266"/>
      <c r="GM298" s="266"/>
      <c r="GN298" s="266"/>
      <c r="GO298" s="266"/>
      <c r="GP298" s="266"/>
      <c r="GQ298" s="266"/>
      <c r="GR298" s="266"/>
      <c r="GS298" s="266"/>
      <c r="GT298" s="266"/>
      <c r="GU298" s="266"/>
      <c r="GV298" s="266"/>
      <c r="GW298" s="266"/>
      <c r="GX298" s="266"/>
      <c r="GY298" s="266"/>
      <c r="GZ298" s="266"/>
      <c r="HA298" s="266"/>
      <c r="HB298" s="266"/>
      <c r="HC298" s="266"/>
      <c r="HD298" s="266"/>
      <c r="HE298" s="266"/>
      <c r="HF298" s="266"/>
      <c r="HG298" s="266"/>
      <c r="HH298" s="266"/>
      <c r="HI298" s="266"/>
      <c r="HJ298" s="266"/>
      <c r="HK298" s="266"/>
      <c r="HL298" s="266"/>
      <c r="HM298" s="266"/>
      <c r="HN298" s="266"/>
      <c r="HO298" s="266"/>
      <c r="HP298" s="266"/>
      <c r="HQ298" s="266"/>
      <c r="HR298" s="266"/>
      <c r="HS298" s="266"/>
      <c r="HT298" s="266"/>
      <c r="HU298" s="266"/>
      <c r="HV298" s="266"/>
      <c r="HW298" s="266"/>
    </row>
    <row r="299" spans="1:231" s="12" customFormat="1" ht="31.5">
      <c r="A299" s="168">
        <v>1</v>
      </c>
      <c r="B299" s="460" t="s">
        <v>31</v>
      </c>
      <c r="C299" s="461" t="s">
        <v>26</v>
      </c>
      <c r="D299" s="170">
        <v>2015</v>
      </c>
      <c r="E299" s="170">
        <v>2020</v>
      </c>
      <c r="F299" s="462" t="s">
        <v>32</v>
      </c>
      <c r="G299" s="456">
        <v>391564</v>
      </c>
      <c r="H299" s="456">
        <v>156626</v>
      </c>
      <c r="I299" s="456">
        <v>104943</v>
      </c>
      <c r="J299" s="456">
        <v>4750</v>
      </c>
      <c r="K299" s="456">
        <v>7500</v>
      </c>
      <c r="L299" s="463" t="s">
        <v>1078</v>
      </c>
      <c r="M299" s="464"/>
      <c r="N299" s="222"/>
      <c r="O299" s="222"/>
      <c r="P299" s="172">
        <f t="shared" si="25"/>
        <v>112443</v>
      </c>
      <c r="Q299" s="172">
        <f t="shared" si="26"/>
        <v>12250</v>
      </c>
      <c r="R299" s="222"/>
      <c r="S299" s="222"/>
      <c r="T299" s="222"/>
      <c r="U299" s="222"/>
      <c r="V299" s="222"/>
      <c r="W299" s="222"/>
      <c r="X299" s="222"/>
      <c r="Y299" s="222"/>
      <c r="Z299" s="222"/>
      <c r="AA299" s="222"/>
      <c r="AB299" s="222"/>
      <c r="AC299" s="222"/>
      <c r="AD299" s="222"/>
      <c r="AE299" s="222"/>
      <c r="AF299" s="222"/>
      <c r="AG299" s="222"/>
      <c r="AH299" s="222"/>
      <c r="AI299" s="222"/>
      <c r="AJ299" s="222"/>
      <c r="AK299" s="222"/>
      <c r="AL299" s="222"/>
      <c r="AM299" s="222"/>
      <c r="AN299" s="222"/>
      <c r="AO299" s="222"/>
      <c r="AP299" s="222"/>
      <c r="AQ299" s="222"/>
      <c r="AR299" s="222"/>
      <c r="AS299" s="222"/>
      <c r="AT299" s="222"/>
      <c r="AU299" s="222"/>
      <c r="AV299" s="222"/>
      <c r="AW299" s="222"/>
      <c r="AX299" s="222"/>
      <c r="AY299" s="222"/>
      <c r="AZ299" s="222"/>
      <c r="BA299" s="222"/>
      <c r="BB299" s="222"/>
      <c r="BC299" s="222"/>
      <c r="BD299" s="222"/>
      <c r="BE299" s="222"/>
      <c r="BF299" s="222"/>
      <c r="BG299" s="222"/>
      <c r="BH299" s="222"/>
      <c r="BI299" s="222"/>
      <c r="BJ299" s="222"/>
      <c r="BK299" s="222"/>
      <c r="BL299" s="222"/>
      <c r="BM299" s="222"/>
      <c r="BN299" s="222"/>
      <c r="BO299" s="222"/>
      <c r="BP299" s="222"/>
      <c r="BQ299" s="222"/>
      <c r="BR299" s="222"/>
      <c r="BS299" s="222"/>
      <c r="BT299" s="222"/>
      <c r="BU299" s="222"/>
      <c r="BV299" s="222"/>
      <c r="BW299" s="222"/>
      <c r="BX299" s="222"/>
      <c r="BY299" s="222"/>
      <c r="BZ299" s="222"/>
      <c r="CA299" s="222"/>
      <c r="CB299" s="222"/>
      <c r="CC299" s="222"/>
      <c r="CD299" s="222"/>
      <c r="CE299" s="222"/>
      <c r="CF299" s="222"/>
      <c r="CG299" s="222"/>
      <c r="CH299" s="222"/>
      <c r="CI299" s="222"/>
      <c r="CJ299" s="222"/>
      <c r="CK299" s="222"/>
      <c r="CL299" s="222"/>
      <c r="CM299" s="222"/>
      <c r="CN299" s="222"/>
      <c r="CO299" s="222"/>
      <c r="CP299" s="222"/>
      <c r="CQ299" s="222"/>
      <c r="CR299" s="222"/>
      <c r="CS299" s="222"/>
      <c r="CT299" s="222"/>
      <c r="CU299" s="222"/>
      <c r="CV299" s="222"/>
      <c r="CW299" s="222"/>
      <c r="CX299" s="222"/>
      <c r="CY299" s="222"/>
      <c r="CZ299" s="222"/>
      <c r="DA299" s="222"/>
      <c r="DB299" s="222"/>
      <c r="DC299" s="222"/>
      <c r="DD299" s="222"/>
      <c r="DE299" s="222"/>
      <c r="DF299" s="222"/>
      <c r="DG299" s="222"/>
      <c r="DH299" s="222"/>
      <c r="DI299" s="222"/>
      <c r="DJ299" s="222"/>
      <c r="DK299" s="222"/>
      <c r="DL299" s="222"/>
      <c r="DM299" s="222"/>
      <c r="DN299" s="222"/>
      <c r="DO299" s="222"/>
      <c r="DP299" s="222"/>
      <c r="DQ299" s="222"/>
      <c r="DR299" s="222"/>
      <c r="DS299" s="222"/>
      <c r="DT299" s="222"/>
      <c r="DU299" s="222"/>
      <c r="DV299" s="222"/>
      <c r="DW299" s="222"/>
      <c r="DX299" s="222"/>
      <c r="DY299" s="222"/>
      <c r="DZ299" s="222"/>
      <c r="EA299" s="222"/>
      <c r="EB299" s="222"/>
      <c r="EC299" s="222"/>
      <c r="ED299" s="222"/>
      <c r="EE299" s="222"/>
      <c r="EF299" s="222"/>
      <c r="EG299" s="222"/>
      <c r="EH299" s="222"/>
      <c r="EI299" s="222"/>
      <c r="EJ299" s="222"/>
      <c r="EK299" s="222"/>
      <c r="EL299" s="222"/>
      <c r="EM299" s="222"/>
      <c r="EN299" s="222"/>
      <c r="EO299" s="222"/>
      <c r="EP299" s="222"/>
      <c r="EQ299" s="222"/>
      <c r="ER299" s="222"/>
      <c r="ES299" s="222"/>
      <c r="ET299" s="222"/>
      <c r="EU299" s="222"/>
      <c r="EV299" s="222"/>
      <c r="EW299" s="222"/>
      <c r="EX299" s="222"/>
      <c r="EY299" s="222"/>
      <c r="EZ299" s="222"/>
      <c r="FA299" s="222"/>
      <c r="FB299" s="222"/>
      <c r="FC299" s="222"/>
      <c r="FD299" s="222"/>
      <c r="FE299" s="222"/>
      <c r="FF299" s="222"/>
      <c r="FG299" s="222"/>
      <c r="FH299" s="222"/>
      <c r="FI299" s="222"/>
      <c r="FJ299" s="222"/>
      <c r="FK299" s="222"/>
      <c r="FL299" s="222"/>
      <c r="FM299" s="222"/>
      <c r="FN299" s="222"/>
      <c r="FO299" s="222"/>
      <c r="FP299" s="222"/>
      <c r="FQ299" s="222"/>
      <c r="FR299" s="222"/>
      <c r="FS299" s="222"/>
      <c r="FT299" s="222"/>
      <c r="FU299" s="222"/>
      <c r="FV299" s="222"/>
      <c r="FW299" s="222"/>
      <c r="FX299" s="222"/>
      <c r="FY299" s="222"/>
      <c r="FZ299" s="222"/>
      <c r="GA299" s="222"/>
      <c r="GB299" s="222"/>
      <c r="GC299" s="222"/>
      <c r="GD299" s="222"/>
      <c r="GE299" s="222"/>
      <c r="GF299" s="222"/>
      <c r="GG299" s="222"/>
      <c r="GH299" s="222"/>
      <c r="GI299" s="222"/>
      <c r="GJ299" s="222"/>
      <c r="GK299" s="222"/>
      <c r="GL299" s="222"/>
      <c r="GM299" s="222"/>
      <c r="GN299" s="222"/>
      <c r="GO299" s="222"/>
      <c r="GP299" s="222"/>
      <c r="GQ299" s="222"/>
      <c r="GR299" s="222"/>
      <c r="GS299" s="222"/>
      <c r="GT299" s="222"/>
      <c r="GU299" s="222"/>
      <c r="GV299" s="222"/>
      <c r="GW299" s="222"/>
      <c r="GX299" s="222"/>
      <c r="GY299" s="222"/>
      <c r="GZ299" s="222"/>
      <c r="HA299" s="222"/>
      <c r="HB299" s="222"/>
      <c r="HC299" s="222"/>
      <c r="HD299" s="222"/>
      <c r="HE299" s="222"/>
      <c r="HF299" s="222"/>
      <c r="HG299" s="222"/>
      <c r="HH299" s="222"/>
      <c r="HI299" s="222"/>
      <c r="HJ299" s="222"/>
      <c r="HK299" s="222"/>
      <c r="HL299" s="222"/>
      <c r="HM299" s="222"/>
      <c r="HN299" s="222"/>
      <c r="HO299" s="222"/>
      <c r="HP299" s="222"/>
      <c r="HQ299" s="222"/>
      <c r="HR299" s="222"/>
      <c r="HS299" s="222"/>
      <c r="HT299" s="222"/>
      <c r="HU299" s="222"/>
      <c r="HV299" s="222"/>
      <c r="HW299" s="222"/>
    </row>
    <row r="300" spans="1:231" s="12" customFormat="1" ht="31.5">
      <c r="A300" s="168">
        <v>2</v>
      </c>
      <c r="B300" s="460" t="s">
        <v>27</v>
      </c>
      <c r="C300" s="461" t="s">
        <v>26</v>
      </c>
      <c r="D300" s="170">
        <v>2016</v>
      </c>
      <c r="E300" s="170">
        <v>2018</v>
      </c>
      <c r="F300" s="462" t="s">
        <v>28</v>
      </c>
      <c r="G300" s="456">
        <v>167137</v>
      </c>
      <c r="H300" s="456">
        <f>G300-100282</f>
        <v>66855</v>
      </c>
      <c r="I300" s="456">
        <v>45084</v>
      </c>
      <c r="J300" s="456">
        <v>10000</v>
      </c>
      <c r="K300" s="456">
        <v>4184</v>
      </c>
      <c r="L300" s="463" t="s">
        <v>1078</v>
      </c>
      <c r="M300" s="464"/>
      <c r="N300" s="222"/>
      <c r="O300" s="222"/>
      <c r="P300" s="172">
        <f t="shared" si="25"/>
        <v>49268</v>
      </c>
      <c r="Q300" s="172">
        <f t="shared" si="26"/>
        <v>14184</v>
      </c>
      <c r="R300" s="222"/>
      <c r="S300" s="222"/>
      <c r="T300" s="222"/>
      <c r="U300" s="222"/>
      <c r="V300" s="222"/>
      <c r="W300" s="222"/>
      <c r="X300" s="222"/>
      <c r="Y300" s="222"/>
      <c r="Z300" s="222"/>
      <c r="AA300" s="222"/>
      <c r="AB300" s="222"/>
      <c r="AC300" s="222"/>
      <c r="AD300" s="222"/>
      <c r="AE300" s="222"/>
      <c r="AF300" s="222"/>
      <c r="AG300" s="222"/>
      <c r="AH300" s="222"/>
      <c r="AI300" s="222"/>
      <c r="AJ300" s="222"/>
      <c r="AK300" s="222"/>
      <c r="AL300" s="222"/>
      <c r="AM300" s="222"/>
      <c r="AN300" s="222"/>
      <c r="AO300" s="222"/>
      <c r="AP300" s="222"/>
      <c r="AQ300" s="222"/>
      <c r="AR300" s="222"/>
      <c r="AS300" s="222"/>
      <c r="AT300" s="222"/>
      <c r="AU300" s="222"/>
      <c r="AV300" s="222"/>
      <c r="AW300" s="222"/>
      <c r="AX300" s="222"/>
      <c r="AY300" s="222"/>
      <c r="AZ300" s="222"/>
      <c r="BA300" s="222"/>
      <c r="BB300" s="222"/>
      <c r="BC300" s="222"/>
      <c r="BD300" s="222"/>
      <c r="BE300" s="222"/>
      <c r="BF300" s="222"/>
      <c r="BG300" s="222"/>
      <c r="BH300" s="222"/>
      <c r="BI300" s="222"/>
      <c r="BJ300" s="222"/>
      <c r="BK300" s="222"/>
      <c r="BL300" s="222"/>
      <c r="BM300" s="222"/>
      <c r="BN300" s="222"/>
      <c r="BO300" s="222"/>
      <c r="BP300" s="222"/>
      <c r="BQ300" s="222"/>
      <c r="BR300" s="222"/>
      <c r="BS300" s="222"/>
      <c r="BT300" s="222"/>
      <c r="BU300" s="222"/>
      <c r="BV300" s="222"/>
      <c r="BW300" s="222"/>
      <c r="BX300" s="222"/>
      <c r="BY300" s="222"/>
      <c r="BZ300" s="222"/>
      <c r="CA300" s="222"/>
      <c r="CB300" s="222"/>
      <c r="CC300" s="222"/>
      <c r="CD300" s="222"/>
      <c r="CE300" s="222"/>
      <c r="CF300" s="222"/>
      <c r="CG300" s="222"/>
      <c r="CH300" s="222"/>
      <c r="CI300" s="222"/>
      <c r="CJ300" s="222"/>
      <c r="CK300" s="222"/>
      <c r="CL300" s="222"/>
      <c r="CM300" s="222"/>
      <c r="CN300" s="222"/>
      <c r="CO300" s="222"/>
      <c r="CP300" s="222"/>
      <c r="CQ300" s="222"/>
      <c r="CR300" s="222"/>
      <c r="CS300" s="222"/>
      <c r="CT300" s="222"/>
      <c r="CU300" s="222"/>
      <c r="CV300" s="222"/>
      <c r="CW300" s="222"/>
      <c r="CX300" s="222"/>
      <c r="CY300" s="222"/>
      <c r="CZ300" s="222"/>
      <c r="DA300" s="222"/>
      <c r="DB300" s="222"/>
      <c r="DC300" s="222"/>
      <c r="DD300" s="222"/>
      <c r="DE300" s="222"/>
      <c r="DF300" s="222"/>
      <c r="DG300" s="222"/>
      <c r="DH300" s="222"/>
      <c r="DI300" s="222"/>
      <c r="DJ300" s="222"/>
      <c r="DK300" s="222"/>
      <c r="DL300" s="222"/>
      <c r="DM300" s="222"/>
      <c r="DN300" s="222"/>
      <c r="DO300" s="222"/>
      <c r="DP300" s="222"/>
      <c r="DQ300" s="222"/>
      <c r="DR300" s="222"/>
      <c r="DS300" s="222"/>
      <c r="DT300" s="222"/>
      <c r="DU300" s="222"/>
      <c r="DV300" s="222"/>
      <c r="DW300" s="222"/>
      <c r="DX300" s="222"/>
      <c r="DY300" s="222"/>
      <c r="DZ300" s="222"/>
      <c r="EA300" s="222"/>
      <c r="EB300" s="222"/>
      <c r="EC300" s="222"/>
      <c r="ED300" s="222"/>
      <c r="EE300" s="222"/>
      <c r="EF300" s="222"/>
      <c r="EG300" s="222"/>
      <c r="EH300" s="222"/>
      <c r="EI300" s="222"/>
      <c r="EJ300" s="222"/>
      <c r="EK300" s="222"/>
      <c r="EL300" s="222"/>
      <c r="EM300" s="222"/>
      <c r="EN300" s="222"/>
      <c r="EO300" s="222"/>
      <c r="EP300" s="222"/>
      <c r="EQ300" s="222"/>
      <c r="ER300" s="222"/>
      <c r="ES300" s="222"/>
      <c r="ET300" s="222"/>
      <c r="EU300" s="222"/>
      <c r="EV300" s="222"/>
      <c r="EW300" s="222"/>
      <c r="EX300" s="222"/>
      <c r="EY300" s="222"/>
      <c r="EZ300" s="222"/>
      <c r="FA300" s="222"/>
      <c r="FB300" s="222"/>
      <c r="FC300" s="222"/>
      <c r="FD300" s="222"/>
      <c r="FE300" s="222"/>
      <c r="FF300" s="222"/>
      <c r="FG300" s="222"/>
      <c r="FH300" s="222"/>
      <c r="FI300" s="222"/>
      <c r="FJ300" s="222"/>
      <c r="FK300" s="222"/>
      <c r="FL300" s="222"/>
      <c r="FM300" s="222"/>
      <c r="FN300" s="222"/>
      <c r="FO300" s="222"/>
      <c r="FP300" s="222"/>
      <c r="FQ300" s="222"/>
      <c r="FR300" s="222"/>
      <c r="FS300" s="222"/>
      <c r="FT300" s="222"/>
      <c r="FU300" s="222"/>
      <c r="FV300" s="222"/>
      <c r="FW300" s="222"/>
      <c r="FX300" s="222"/>
      <c r="FY300" s="222"/>
      <c r="FZ300" s="222"/>
      <c r="GA300" s="222"/>
      <c r="GB300" s="222"/>
      <c r="GC300" s="222"/>
      <c r="GD300" s="222"/>
      <c r="GE300" s="222"/>
      <c r="GF300" s="222"/>
      <c r="GG300" s="222"/>
      <c r="GH300" s="222"/>
      <c r="GI300" s="222"/>
      <c r="GJ300" s="222"/>
      <c r="GK300" s="222"/>
      <c r="GL300" s="222"/>
      <c r="GM300" s="222"/>
      <c r="GN300" s="222"/>
      <c r="GO300" s="222"/>
      <c r="GP300" s="222"/>
      <c r="GQ300" s="222"/>
      <c r="GR300" s="222"/>
      <c r="GS300" s="222"/>
      <c r="GT300" s="222"/>
      <c r="GU300" s="222"/>
      <c r="GV300" s="222"/>
      <c r="GW300" s="222"/>
      <c r="GX300" s="222"/>
      <c r="GY300" s="222"/>
      <c r="GZ300" s="222"/>
      <c r="HA300" s="222"/>
      <c r="HB300" s="222"/>
      <c r="HC300" s="222"/>
      <c r="HD300" s="222"/>
      <c r="HE300" s="222"/>
      <c r="HF300" s="222"/>
      <c r="HG300" s="222"/>
      <c r="HH300" s="222"/>
      <c r="HI300" s="222"/>
      <c r="HJ300" s="222"/>
      <c r="HK300" s="222"/>
      <c r="HL300" s="222"/>
      <c r="HM300" s="222"/>
      <c r="HN300" s="222"/>
      <c r="HO300" s="222"/>
      <c r="HP300" s="222"/>
      <c r="HQ300" s="222"/>
      <c r="HR300" s="222"/>
      <c r="HS300" s="222"/>
      <c r="HT300" s="222"/>
      <c r="HU300" s="222"/>
      <c r="HV300" s="222"/>
      <c r="HW300" s="222"/>
    </row>
    <row r="301" spans="1:231" s="12" customFormat="1" ht="31.5">
      <c r="A301" s="168">
        <v>3</v>
      </c>
      <c r="B301" s="460" t="s">
        <v>29</v>
      </c>
      <c r="C301" s="461" t="s">
        <v>26</v>
      </c>
      <c r="D301" s="170">
        <v>2016</v>
      </c>
      <c r="E301" s="170">
        <v>2018</v>
      </c>
      <c r="F301" s="462" t="s">
        <v>30</v>
      </c>
      <c r="G301" s="456">
        <v>72595</v>
      </c>
      <c r="H301" s="456">
        <v>17920</v>
      </c>
      <c r="I301" s="456">
        <v>19461</v>
      </c>
      <c r="J301" s="456">
        <v>9987</v>
      </c>
      <c r="K301" s="456">
        <v>8316</v>
      </c>
      <c r="L301" s="463" t="s">
        <v>1078</v>
      </c>
      <c r="M301" s="464"/>
      <c r="N301" s="222"/>
      <c r="O301" s="222"/>
      <c r="P301" s="172">
        <f t="shared" si="25"/>
        <v>27777</v>
      </c>
      <c r="Q301" s="172">
        <f t="shared" si="26"/>
        <v>18303</v>
      </c>
      <c r="R301" s="222"/>
      <c r="S301" s="222"/>
      <c r="T301" s="222"/>
      <c r="U301" s="222"/>
      <c r="V301" s="222"/>
      <c r="W301" s="222"/>
      <c r="X301" s="222"/>
      <c r="Y301" s="222"/>
      <c r="Z301" s="222"/>
      <c r="AA301" s="222"/>
      <c r="AB301" s="222"/>
      <c r="AC301" s="222"/>
      <c r="AD301" s="222"/>
      <c r="AE301" s="222"/>
      <c r="AF301" s="222"/>
      <c r="AG301" s="222"/>
      <c r="AH301" s="222"/>
      <c r="AI301" s="222"/>
      <c r="AJ301" s="222"/>
      <c r="AK301" s="222"/>
      <c r="AL301" s="222"/>
      <c r="AM301" s="222"/>
      <c r="AN301" s="222"/>
      <c r="AO301" s="222"/>
      <c r="AP301" s="222"/>
      <c r="AQ301" s="222"/>
      <c r="AR301" s="222"/>
      <c r="AS301" s="222"/>
      <c r="AT301" s="222"/>
      <c r="AU301" s="222"/>
      <c r="AV301" s="222"/>
      <c r="AW301" s="222"/>
      <c r="AX301" s="222"/>
      <c r="AY301" s="222"/>
      <c r="AZ301" s="222"/>
      <c r="BA301" s="222"/>
      <c r="BB301" s="222"/>
      <c r="BC301" s="222"/>
      <c r="BD301" s="222"/>
      <c r="BE301" s="222"/>
      <c r="BF301" s="222"/>
      <c r="BG301" s="222"/>
      <c r="BH301" s="222"/>
      <c r="BI301" s="222"/>
      <c r="BJ301" s="222"/>
      <c r="BK301" s="222"/>
      <c r="BL301" s="222"/>
      <c r="BM301" s="222"/>
      <c r="BN301" s="222"/>
      <c r="BO301" s="222"/>
      <c r="BP301" s="222"/>
      <c r="BQ301" s="222"/>
      <c r="BR301" s="222"/>
      <c r="BS301" s="222"/>
      <c r="BT301" s="222"/>
      <c r="BU301" s="222"/>
      <c r="BV301" s="222"/>
      <c r="BW301" s="222"/>
      <c r="BX301" s="222"/>
      <c r="BY301" s="222"/>
      <c r="BZ301" s="222"/>
      <c r="CA301" s="222"/>
      <c r="CB301" s="222"/>
      <c r="CC301" s="222"/>
      <c r="CD301" s="222"/>
      <c r="CE301" s="222"/>
      <c r="CF301" s="222"/>
      <c r="CG301" s="222"/>
      <c r="CH301" s="222"/>
      <c r="CI301" s="222"/>
      <c r="CJ301" s="222"/>
      <c r="CK301" s="222"/>
      <c r="CL301" s="222"/>
      <c r="CM301" s="222"/>
      <c r="CN301" s="222"/>
      <c r="CO301" s="222"/>
      <c r="CP301" s="222"/>
      <c r="CQ301" s="222"/>
      <c r="CR301" s="222"/>
      <c r="CS301" s="222"/>
      <c r="CT301" s="222"/>
      <c r="CU301" s="222"/>
      <c r="CV301" s="222"/>
      <c r="CW301" s="222"/>
      <c r="CX301" s="222"/>
      <c r="CY301" s="222"/>
      <c r="CZ301" s="222"/>
      <c r="DA301" s="222"/>
      <c r="DB301" s="222"/>
      <c r="DC301" s="222"/>
      <c r="DD301" s="222"/>
      <c r="DE301" s="222"/>
      <c r="DF301" s="222"/>
      <c r="DG301" s="222"/>
      <c r="DH301" s="222"/>
      <c r="DI301" s="222"/>
      <c r="DJ301" s="222"/>
      <c r="DK301" s="222"/>
      <c r="DL301" s="222"/>
      <c r="DM301" s="222"/>
      <c r="DN301" s="222"/>
      <c r="DO301" s="222"/>
      <c r="DP301" s="222"/>
      <c r="DQ301" s="222"/>
      <c r="DR301" s="222"/>
      <c r="DS301" s="222"/>
      <c r="DT301" s="222"/>
      <c r="DU301" s="222"/>
      <c r="DV301" s="222"/>
      <c r="DW301" s="222"/>
      <c r="DX301" s="222"/>
      <c r="DY301" s="222"/>
      <c r="DZ301" s="222"/>
      <c r="EA301" s="222"/>
      <c r="EB301" s="222"/>
      <c r="EC301" s="222"/>
      <c r="ED301" s="222"/>
      <c r="EE301" s="222"/>
      <c r="EF301" s="222"/>
      <c r="EG301" s="222"/>
      <c r="EH301" s="222"/>
      <c r="EI301" s="222"/>
      <c r="EJ301" s="222"/>
      <c r="EK301" s="222"/>
      <c r="EL301" s="222"/>
      <c r="EM301" s="222"/>
      <c r="EN301" s="222"/>
      <c r="EO301" s="222"/>
      <c r="EP301" s="222"/>
      <c r="EQ301" s="222"/>
      <c r="ER301" s="222"/>
      <c r="ES301" s="222"/>
      <c r="ET301" s="222"/>
      <c r="EU301" s="222"/>
      <c r="EV301" s="222"/>
      <c r="EW301" s="222"/>
      <c r="EX301" s="222"/>
      <c r="EY301" s="222"/>
      <c r="EZ301" s="222"/>
      <c r="FA301" s="222"/>
      <c r="FB301" s="222"/>
      <c r="FC301" s="222"/>
      <c r="FD301" s="222"/>
      <c r="FE301" s="222"/>
      <c r="FF301" s="222"/>
      <c r="FG301" s="222"/>
      <c r="FH301" s="222"/>
      <c r="FI301" s="222"/>
      <c r="FJ301" s="222"/>
      <c r="FK301" s="222"/>
      <c r="FL301" s="222"/>
      <c r="FM301" s="222"/>
      <c r="FN301" s="222"/>
      <c r="FO301" s="222"/>
      <c r="FP301" s="222"/>
      <c r="FQ301" s="222"/>
      <c r="FR301" s="222"/>
      <c r="FS301" s="222"/>
      <c r="FT301" s="222"/>
      <c r="FU301" s="222"/>
      <c r="FV301" s="222"/>
      <c r="FW301" s="222"/>
      <c r="FX301" s="222"/>
      <c r="FY301" s="222"/>
      <c r="FZ301" s="222"/>
      <c r="GA301" s="222"/>
      <c r="GB301" s="222"/>
      <c r="GC301" s="222"/>
      <c r="GD301" s="222"/>
      <c r="GE301" s="222"/>
      <c r="GF301" s="222"/>
      <c r="GG301" s="222"/>
      <c r="GH301" s="222"/>
      <c r="GI301" s="222"/>
      <c r="GJ301" s="222"/>
      <c r="GK301" s="222"/>
      <c r="GL301" s="222"/>
      <c r="GM301" s="222"/>
      <c r="GN301" s="222"/>
      <c r="GO301" s="222"/>
      <c r="GP301" s="222"/>
      <c r="GQ301" s="222"/>
      <c r="GR301" s="222"/>
      <c r="GS301" s="222"/>
      <c r="GT301" s="222"/>
      <c r="GU301" s="222"/>
      <c r="GV301" s="222"/>
      <c r="GW301" s="222"/>
      <c r="GX301" s="222"/>
      <c r="GY301" s="222"/>
      <c r="GZ301" s="222"/>
      <c r="HA301" s="222"/>
      <c r="HB301" s="222"/>
      <c r="HC301" s="222"/>
      <c r="HD301" s="222"/>
      <c r="HE301" s="222"/>
      <c r="HF301" s="222"/>
      <c r="HG301" s="222"/>
      <c r="HH301" s="222"/>
      <c r="HI301" s="222"/>
      <c r="HJ301" s="222"/>
      <c r="HK301" s="222"/>
      <c r="HL301" s="222"/>
      <c r="HM301" s="222"/>
      <c r="HN301" s="222"/>
      <c r="HO301" s="222"/>
      <c r="HP301" s="222"/>
      <c r="HQ301" s="222"/>
      <c r="HR301" s="222"/>
      <c r="HS301" s="222"/>
      <c r="HT301" s="222"/>
      <c r="HU301" s="222"/>
      <c r="HV301" s="222"/>
      <c r="HW301" s="222"/>
    </row>
    <row r="302" spans="1:231" s="225" customFormat="1" ht="31.5">
      <c r="A302" s="19" t="s">
        <v>472</v>
      </c>
      <c r="B302" s="53" t="s">
        <v>1079</v>
      </c>
      <c r="C302" s="2"/>
      <c r="D302" s="3"/>
      <c r="E302" s="3"/>
      <c r="F302" s="224"/>
      <c r="G302" s="20">
        <f>SUBTOTAL(109,G303:G307)</f>
        <v>27750</v>
      </c>
      <c r="H302" s="20">
        <f t="shared" ref="H302:K302" si="32">SUBTOTAL(109,H303:H307)</f>
        <v>27750</v>
      </c>
      <c r="I302" s="20">
        <f t="shared" si="32"/>
        <v>2735</v>
      </c>
      <c r="J302" s="20">
        <f t="shared" si="32"/>
        <v>2735</v>
      </c>
      <c r="K302" s="20">
        <f t="shared" si="32"/>
        <v>7636</v>
      </c>
      <c r="L302" s="36"/>
      <c r="M302" s="221"/>
      <c r="N302" s="223"/>
      <c r="O302" s="223"/>
      <c r="P302" s="172">
        <f t="shared" si="25"/>
        <v>10371</v>
      </c>
      <c r="Q302" s="172">
        <f t="shared" si="26"/>
        <v>10371</v>
      </c>
      <c r="R302" s="223"/>
      <c r="S302" s="223"/>
      <c r="T302" s="223"/>
      <c r="U302" s="223"/>
      <c r="V302" s="223"/>
      <c r="W302" s="223"/>
      <c r="X302" s="223"/>
      <c r="Y302" s="223"/>
      <c r="Z302" s="223"/>
      <c r="AA302" s="223"/>
      <c r="AB302" s="223"/>
      <c r="AC302" s="223"/>
      <c r="AD302" s="223"/>
      <c r="AE302" s="223"/>
      <c r="AF302" s="223"/>
      <c r="AG302" s="223"/>
      <c r="AH302" s="223"/>
      <c r="AI302" s="223"/>
      <c r="AJ302" s="223"/>
      <c r="AK302" s="223"/>
      <c r="AL302" s="223"/>
      <c r="AM302" s="223"/>
      <c r="AN302" s="223"/>
      <c r="AO302" s="223"/>
      <c r="AP302" s="223"/>
      <c r="AQ302" s="223"/>
      <c r="AR302" s="223"/>
      <c r="AS302" s="223"/>
      <c r="AT302" s="223"/>
      <c r="AU302" s="223"/>
      <c r="AV302" s="223"/>
      <c r="AW302" s="223"/>
      <c r="AX302" s="223"/>
      <c r="AY302" s="223"/>
      <c r="AZ302" s="223"/>
      <c r="BA302" s="223"/>
      <c r="BB302" s="223"/>
      <c r="BC302" s="223"/>
      <c r="BD302" s="223"/>
      <c r="BE302" s="223"/>
      <c r="BF302" s="223"/>
      <c r="BG302" s="223"/>
      <c r="BH302" s="223"/>
      <c r="BI302" s="223"/>
      <c r="BJ302" s="223"/>
      <c r="BK302" s="223"/>
      <c r="BL302" s="223"/>
      <c r="BM302" s="223"/>
      <c r="BN302" s="223"/>
      <c r="BO302" s="223"/>
      <c r="BP302" s="223"/>
      <c r="BQ302" s="223"/>
      <c r="BR302" s="223"/>
      <c r="BS302" s="223"/>
      <c r="BT302" s="223"/>
      <c r="BU302" s="223"/>
      <c r="BV302" s="223"/>
      <c r="BW302" s="223"/>
      <c r="BX302" s="223"/>
      <c r="BY302" s="223"/>
      <c r="BZ302" s="223"/>
      <c r="CA302" s="223"/>
      <c r="CB302" s="223"/>
      <c r="CC302" s="223"/>
      <c r="CD302" s="223"/>
      <c r="CE302" s="223"/>
      <c r="CF302" s="223"/>
      <c r="CG302" s="223"/>
      <c r="CH302" s="223"/>
      <c r="CI302" s="223"/>
      <c r="CJ302" s="223"/>
      <c r="CK302" s="223"/>
      <c r="CL302" s="223"/>
      <c r="CM302" s="223"/>
      <c r="CN302" s="223"/>
      <c r="CO302" s="223"/>
      <c r="CP302" s="223"/>
      <c r="CQ302" s="223"/>
      <c r="CR302" s="223"/>
      <c r="CS302" s="223"/>
      <c r="CT302" s="223"/>
      <c r="CU302" s="223"/>
      <c r="CV302" s="223"/>
      <c r="CW302" s="223"/>
      <c r="CX302" s="223"/>
      <c r="CY302" s="223"/>
      <c r="CZ302" s="223"/>
      <c r="DA302" s="223"/>
      <c r="DB302" s="223"/>
      <c r="DC302" s="223"/>
      <c r="DD302" s="223"/>
      <c r="DE302" s="223"/>
      <c r="DF302" s="223"/>
      <c r="DG302" s="223"/>
      <c r="DH302" s="223"/>
      <c r="DI302" s="223"/>
      <c r="DJ302" s="223"/>
      <c r="DK302" s="223"/>
      <c r="DL302" s="223"/>
      <c r="DM302" s="223"/>
      <c r="DN302" s="223"/>
      <c r="DO302" s="223"/>
      <c r="DP302" s="223"/>
      <c r="DQ302" s="223"/>
      <c r="DR302" s="223"/>
      <c r="DS302" s="223"/>
      <c r="DT302" s="223"/>
      <c r="DU302" s="223"/>
      <c r="DV302" s="223"/>
      <c r="DW302" s="223"/>
      <c r="DX302" s="223"/>
      <c r="DY302" s="223"/>
      <c r="DZ302" s="223"/>
      <c r="EA302" s="223"/>
      <c r="EB302" s="223"/>
      <c r="EC302" s="223"/>
      <c r="ED302" s="223"/>
      <c r="EE302" s="223"/>
      <c r="EF302" s="223"/>
      <c r="EG302" s="223"/>
      <c r="EH302" s="223"/>
      <c r="EI302" s="223"/>
      <c r="EJ302" s="223"/>
      <c r="EK302" s="223"/>
      <c r="EL302" s="223"/>
      <c r="EM302" s="223"/>
      <c r="EN302" s="223"/>
      <c r="EO302" s="223"/>
      <c r="EP302" s="223"/>
      <c r="EQ302" s="223"/>
      <c r="ER302" s="223"/>
      <c r="ES302" s="223"/>
      <c r="ET302" s="223"/>
      <c r="EU302" s="223"/>
      <c r="EV302" s="223"/>
      <c r="EW302" s="223"/>
      <c r="EX302" s="223"/>
      <c r="EY302" s="223"/>
      <c r="EZ302" s="223"/>
      <c r="FA302" s="223"/>
      <c r="FB302" s="223"/>
      <c r="FC302" s="223"/>
      <c r="FD302" s="223"/>
      <c r="FE302" s="223"/>
      <c r="FF302" s="223"/>
      <c r="FG302" s="223"/>
      <c r="FH302" s="223"/>
      <c r="FI302" s="223"/>
      <c r="FJ302" s="223"/>
      <c r="FK302" s="223"/>
      <c r="FL302" s="223"/>
      <c r="FM302" s="223"/>
      <c r="FN302" s="223"/>
      <c r="FO302" s="223"/>
      <c r="FP302" s="223"/>
      <c r="FQ302" s="223"/>
      <c r="FR302" s="223"/>
      <c r="FS302" s="223"/>
      <c r="FT302" s="223"/>
      <c r="FU302" s="223"/>
      <c r="FV302" s="223"/>
      <c r="FW302" s="223"/>
      <c r="FX302" s="223"/>
      <c r="FY302" s="223"/>
      <c r="FZ302" s="223"/>
      <c r="GA302" s="223"/>
      <c r="GB302" s="223"/>
      <c r="GC302" s="223"/>
      <c r="GD302" s="223"/>
      <c r="GE302" s="223"/>
      <c r="GF302" s="223"/>
      <c r="GG302" s="223"/>
      <c r="GH302" s="223"/>
      <c r="GI302" s="223"/>
      <c r="GJ302" s="223"/>
      <c r="GK302" s="223"/>
      <c r="GL302" s="223"/>
      <c r="GM302" s="223"/>
      <c r="GN302" s="223"/>
      <c r="GO302" s="223"/>
      <c r="GP302" s="223"/>
      <c r="GQ302" s="223"/>
      <c r="GR302" s="223"/>
      <c r="GS302" s="223"/>
      <c r="GT302" s="223"/>
      <c r="GU302" s="223"/>
      <c r="GV302" s="223"/>
      <c r="GW302" s="223"/>
      <c r="GX302" s="223"/>
      <c r="GY302" s="223"/>
      <c r="GZ302" s="223"/>
      <c r="HA302" s="223"/>
      <c r="HB302" s="223"/>
      <c r="HC302" s="223"/>
      <c r="HD302" s="223"/>
      <c r="HE302" s="223"/>
      <c r="HF302" s="223"/>
      <c r="HG302" s="223"/>
      <c r="HH302" s="223"/>
      <c r="HI302" s="223"/>
      <c r="HJ302" s="223"/>
      <c r="HK302" s="223"/>
      <c r="HL302" s="223"/>
      <c r="HM302" s="223"/>
      <c r="HN302" s="223"/>
      <c r="HO302" s="223"/>
      <c r="HP302" s="223"/>
      <c r="HQ302" s="223"/>
      <c r="HR302" s="223"/>
      <c r="HS302" s="223"/>
      <c r="HT302" s="223"/>
      <c r="HU302" s="223"/>
      <c r="HV302" s="223"/>
      <c r="HW302" s="223"/>
    </row>
    <row r="303" spans="1:231" s="235" customFormat="1" ht="15.75">
      <c r="A303" s="175" t="s">
        <v>821</v>
      </c>
      <c r="B303" s="232" t="s">
        <v>523</v>
      </c>
      <c r="C303" s="177"/>
      <c r="D303" s="178"/>
      <c r="E303" s="178"/>
      <c r="F303" s="234"/>
      <c r="G303" s="104">
        <f>SUBTOTAL(109,G304:G304)</f>
        <v>7671</v>
      </c>
      <c r="H303" s="104">
        <f>SUBTOTAL(109,H304:H304)</f>
        <v>7671</v>
      </c>
      <c r="I303" s="104">
        <f>SUBTOTAL(109,I304:I304)</f>
        <v>2615</v>
      </c>
      <c r="J303" s="104">
        <f>SUBTOTAL(109,J304:J304)</f>
        <v>2615</v>
      </c>
      <c r="K303" s="104">
        <f>SUBTOTAL(109,K304:K304)</f>
        <v>2215</v>
      </c>
      <c r="L303" s="181"/>
      <c r="M303" s="182"/>
      <c r="N303" s="266"/>
      <c r="O303" s="266"/>
      <c r="P303" s="172">
        <f t="shared" si="25"/>
        <v>4830</v>
      </c>
      <c r="Q303" s="172">
        <f t="shared" si="26"/>
        <v>4830</v>
      </c>
      <c r="R303" s="266"/>
      <c r="S303" s="266"/>
      <c r="T303" s="266"/>
      <c r="U303" s="266"/>
      <c r="V303" s="266"/>
      <c r="W303" s="266"/>
      <c r="X303" s="266"/>
      <c r="Y303" s="266"/>
      <c r="Z303" s="266"/>
      <c r="AA303" s="266"/>
      <c r="AB303" s="266"/>
      <c r="AC303" s="266"/>
      <c r="AD303" s="266"/>
      <c r="AE303" s="266"/>
      <c r="AF303" s="266"/>
      <c r="AG303" s="266"/>
      <c r="AH303" s="266"/>
      <c r="AI303" s="266"/>
      <c r="AJ303" s="266"/>
      <c r="AK303" s="266"/>
      <c r="AL303" s="266"/>
      <c r="AM303" s="266"/>
      <c r="AN303" s="266"/>
      <c r="AO303" s="266"/>
      <c r="AP303" s="266"/>
      <c r="AQ303" s="266"/>
      <c r="AR303" s="266"/>
      <c r="AS303" s="266"/>
      <c r="AT303" s="266"/>
      <c r="AU303" s="266"/>
      <c r="AV303" s="266"/>
      <c r="AW303" s="266"/>
      <c r="AX303" s="266"/>
      <c r="AY303" s="266"/>
      <c r="AZ303" s="266"/>
      <c r="BA303" s="266"/>
      <c r="BB303" s="266"/>
      <c r="BC303" s="266"/>
      <c r="BD303" s="266"/>
      <c r="BE303" s="266"/>
      <c r="BF303" s="266"/>
      <c r="BG303" s="266"/>
      <c r="BH303" s="266"/>
      <c r="BI303" s="266"/>
      <c r="BJ303" s="266"/>
      <c r="BK303" s="266"/>
      <c r="BL303" s="266"/>
      <c r="BM303" s="266"/>
      <c r="BN303" s="266"/>
      <c r="BO303" s="266"/>
      <c r="BP303" s="266"/>
      <c r="BQ303" s="266"/>
      <c r="BR303" s="266"/>
      <c r="BS303" s="266"/>
      <c r="BT303" s="266"/>
      <c r="BU303" s="266"/>
      <c r="BV303" s="266"/>
      <c r="BW303" s="266"/>
      <c r="BX303" s="266"/>
      <c r="BY303" s="266"/>
      <c r="BZ303" s="266"/>
      <c r="CA303" s="266"/>
      <c r="CB303" s="266"/>
      <c r="CC303" s="266"/>
      <c r="CD303" s="266"/>
      <c r="CE303" s="266"/>
      <c r="CF303" s="266"/>
      <c r="CG303" s="266"/>
      <c r="CH303" s="266"/>
      <c r="CI303" s="266"/>
      <c r="CJ303" s="266"/>
      <c r="CK303" s="266"/>
      <c r="CL303" s="266"/>
      <c r="CM303" s="266"/>
      <c r="CN303" s="266"/>
      <c r="CO303" s="266"/>
      <c r="CP303" s="266"/>
      <c r="CQ303" s="266"/>
      <c r="CR303" s="266"/>
      <c r="CS303" s="266"/>
      <c r="CT303" s="266"/>
      <c r="CU303" s="266"/>
      <c r="CV303" s="266"/>
      <c r="CW303" s="266"/>
      <c r="CX303" s="266"/>
      <c r="CY303" s="266"/>
      <c r="CZ303" s="266"/>
      <c r="DA303" s="266"/>
      <c r="DB303" s="266"/>
      <c r="DC303" s="266"/>
      <c r="DD303" s="266"/>
      <c r="DE303" s="266"/>
      <c r="DF303" s="266"/>
      <c r="DG303" s="266"/>
      <c r="DH303" s="266"/>
      <c r="DI303" s="266"/>
      <c r="DJ303" s="266"/>
      <c r="DK303" s="266"/>
      <c r="DL303" s="266"/>
      <c r="DM303" s="266"/>
      <c r="DN303" s="266"/>
      <c r="DO303" s="266"/>
      <c r="DP303" s="266"/>
      <c r="DQ303" s="266"/>
      <c r="DR303" s="266"/>
      <c r="DS303" s="266"/>
      <c r="DT303" s="266"/>
      <c r="DU303" s="266"/>
      <c r="DV303" s="266"/>
      <c r="DW303" s="266"/>
      <c r="DX303" s="266"/>
      <c r="DY303" s="266"/>
      <c r="DZ303" s="266"/>
      <c r="EA303" s="266"/>
      <c r="EB303" s="266"/>
      <c r="EC303" s="266"/>
      <c r="ED303" s="266"/>
      <c r="EE303" s="266"/>
      <c r="EF303" s="266"/>
      <c r="EG303" s="266"/>
      <c r="EH303" s="266"/>
      <c r="EI303" s="266"/>
      <c r="EJ303" s="266"/>
      <c r="EK303" s="266"/>
      <c r="EL303" s="266"/>
      <c r="EM303" s="266"/>
      <c r="EN303" s="266"/>
      <c r="EO303" s="266"/>
      <c r="EP303" s="266"/>
      <c r="EQ303" s="266"/>
      <c r="ER303" s="266"/>
      <c r="ES303" s="266"/>
      <c r="ET303" s="266"/>
      <c r="EU303" s="266"/>
      <c r="EV303" s="266"/>
      <c r="EW303" s="266"/>
      <c r="EX303" s="266"/>
      <c r="EY303" s="266"/>
      <c r="EZ303" s="266"/>
      <c r="FA303" s="266"/>
      <c r="FB303" s="266"/>
      <c r="FC303" s="266"/>
      <c r="FD303" s="266"/>
      <c r="FE303" s="266"/>
      <c r="FF303" s="266"/>
      <c r="FG303" s="266"/>
      <c r="FH303" s="266"/>
      <c r="FI303" s="266"/>
      <c r="FJ303" s="266"/>
      <c r="FK303" s="266"/>
      <c r="FL303" s="266"/>
      <c r="FM303" s="266"/>
      <c r="FN303" s="266"/>
      <c r="FO303" s="266"/>
      <c r="FP303" s="266"/>
      <c r="FQ303" s="266"/>
      <c r="FR303" s="266"/>
      <c r="FS303" s="266"/>
      <c r="FT303" s="266"/>
      <c r="FU303" s="266"/>
      <c r="FV303" s="266"/>
      <c r="FW303" s="266"/>
      <c r="FX303" s="266"/>
      <c r="FY303" s="266"/>
      <c r="FZ303" s="266"/>
      <c r="GA303" s="266"/>
      <c r="GB303" s="266"/>
      <c r="GC303" s="266"/>
      <c r="GD303" s="266"/>
      <c r="GE303" s="266"/>
      <c r="GF303" s="266"/>
      <c r="GG303" s="266"/>
      <c r="GH303" s="266"/>
      <c r="GI303" s="266"/>
      <c r="GJ303" s="266"/>
      <c r="GK303" s="266"/>
      <c r="GL303" s="266"/>
      <c r="GM303" s="266"/>
      <c r="GN303" s="266"/>
      <c r="GO303" s="266"/>
      <c r="GP303" s="266"/>
      <c r="GQ303" s="266"/>
      <c r="GR303" s="266"/>
      <c r="GS303" s="266"/>
      <c r="GT303" s="266"/>
      <c r="GU303" s="266"/>
      <c r="GV303" s="266"/>
      <c r="GW303" s="266"/>
      <c r="GX303" s="266"/>
      <c r="GY303" s="266"/>
      <c r="GZ303" s="266"/>
      <c r="HA303" s="266"/>
      <c r="HB303" s="266"/>
      <c r="HC303" s="266"/>
      <c r="HD303" s="266"/>
      <c r="HE303" s="266"/>
      <c r="HF303" s="266"/>
      <c r="HG303" s="266"/>
      <c r="HH303" s="266"/>
      <c r="HI303" s="266"/>
      <c r="HJ303" s="266"/>
      <c r="HK303" s="266"/>
      <c r="HL303" s="266"/>
      <c r="HM303" s="266"/>
      <c r="HN303" s="266"/>
      <c r="HO303" s="266"/>
      <c r="HP303" s="266"/>
      <c r="HQ303" s="266"/>
      <c r="HR303" s="266"/>
      <c r="HS303" s="266"/>
      <c r="HT303" s="266"/>
      <c r="HU303" s="266"/>
      <c r="HV303" s="266"/>
      <c r="HW303" s="266"/>
    </row>
    <row r="304" spans="1:231" s="15" customFormat="1" ht="31.5">
      <c r="A304" s="168">
        <v>1</v>
      </c>
      <c r="B304" s="283" t="s">
        <v>393</v>
      </c>
      <c r="C304" s="465" t="s">
        <v>33</v>
      </c>
      <c r="D304" s="170">
        <v>2017</v>
      </c>
      <c r="E304" s="465" t="s">
        <v>394</v>
      </c>
      <c r="F304" s="185" t="s">
        <v>395</v>
      </c>
      <c r="G304" s="288">
        <v>7671</v>
      </c>
      <c r="H304" s="288">
        <v>7671</v>
      </c>
      <c r="I304" s="288">
        <v>2615</v>
      </c>
      <c r="J304" s="288">
        <v>2615</v>
      </c>
      <c r="K304" s="288">
        <v>2215</v>
      </c>
      <c r="L304" s="463" t="s">
        <v>1080</v>
      </c>
      <c r="M304" s="464"/>
      <c r="P304" s="172">
        <f t="shared" si="25"/>
        <v>4830</v>
      </c>
      <c r="Q304" s="172">
        <f t="shared" si="26"/>
        <v>4830</v>
      </c>
    </row>
    <row r="305" spans="1:231" s="454" customFormat="1" ht="15.75">
      <c r="A305" s="175" t="s">
        <v>825</v>
      </c>
      <c r="B305" s="451" t="s">
        <v>1081</v>
      </c>
      <c r="C305" s="449"/>
      <c r="D305" s="178"/>
      <c r="E305" s="178"/>
      <c r="F305" s="453"/>
      <c r="G305" s="104">
        <f>SUBTOTAL(109,G306:G307)</f>
        <v>20079</v>
      </c>
      <c r="H305" s="104">
        <f t="shared" ref="H305:K305" si="33">SUBTOTAL(109,H306:H307)</f>
        <v>20079</v>
      </c>
      <c r="I305" s="104">
        <f t="shared" si="33"/>
        <v>120</v>
      </c>
      <c r="J305" s="104">
        <f t="shared" si="33"/>
        <v>120</v>
      </c>
      <c r="K305" s="104">
        <f t="shared" si="33"/>
        <v>5421</v>
      </c>
      <c r="L305" s="104"/>
      <c r="M305" s="201"/>
      <c r="P305" s="172">
        <f t="shared" si="25"/>
        <v>5541</v>
      </c>
      <c r="Q305" s="172">
        <f t="shared" si="26"/>
        <v>5541</v>
      </c>
    </row>
    <row r="306" spans="1:231" s="15" customFormat="1" ht="31.5">
      <c r="A306" s="168">
        <v>1</v>
      </c>
      <c r="B306" s="56" t="s">
        <v>396</v>
      </c>
      <c r="C306" s="465" t="s">
        <v>33</v>
      </c>
      <c r="D306" s="170">
        <v>2018</v>
      </c>
      <c r="E306" s="170">
        <v>2020</v>
      </c>
      <c r="F306" s="185" t="s">
        <v>1082</v>
      </c>
      <c r="G306" s="288">
        <v>9079</v>
      </c>
      <c r="H306" s="288">
        <f>G306</f>
        <v>9079</v>
      </c>
      <c r="I306" s="288">
        <v>60</v>
      </c>
      <c r="J306" s="288">
        <v>60</v>
      </c>
      <c r="K306" s="288">
        <v>2451</v>
      </c>
      <c r="L306" s="463" t="s">
        <v>1080</v>
      </c>
      <c r="M306" s="464"/>
      <c r="P306" s="172">
        <f t="shared" si="25"/>
        <v>2511</v>
      </c>
      <c r="Q306" s="172">
        <f t="shared" si="26"/>
        <v>2511</v>
      </c>
    </row>
    <row r="307" spans="1:231" s="15" customFormat="1" ht="31.5">
      <c r="A307" s="168">
        <v>2</v>
      </c>
      <c r="B307" s="56" t="s">
        <v>397</v>
      </c>
      <c r="C307" s="465" t="s">
        <v>33</v>
      </c>
      <c r="D307" s="170">
        <v>2018</v>
      </c>
      <c r="E307" s="170">
        <v>2020</v>
      </c>
      <c r="F307" s="185" t="s">
        <v>1083</v>
      </c>
      <c r="G307" s="288">
        <v>11000</v>
      </c>
      <c r="H307" s="288">
        <f>G307</f>
        <v>11000</v>
      </c>
      <c r="I307" s="288">
        <v>60</v>
      </c>
      <c r="J307" s="288">
        <v>60</v>
      </c>
      <c r="K307" s="288">
        <v>2970</v>
      </c>
      <c r="L307" s="463" t="s">
        <v>1080</v>
      </c>
      <c r="M307" s="464"/>
      <c r="P307" s="172">
        <f t="shared" si="25"/>
        <v>3030</v>
      </c>
      <c r="Q307" s="172">
        <f t="shared" si="26"/>
        <v>3030</v>
      </c>
    </row>
    <row r="308" spans="1:231" s="31" customFormat="1" ht="15.75">
      <c r="A308" s="19" t="s">
        <v>477</v>
      </c>
      <c r="B308" s="466" t="s">
        <v>1084</v>
      </c>
      <c r="C308" s="467"/>
      <c r="D308" s="21"/>
      <c r="E308" s="21"/>
      <c r="F308" s="447"/>
      <c r="G308" s="20">
        <f>SUBTOTAL(109,G309:G316)</f>
        <v>191167</v>
      </c>
      <c r="H308" s="20">
        <f t="shared" ref="H308:K308" si="34">SUBTOTAL(109,H309:H316)</f>
        <v>68537</v>
      </c>
      <c r="I308" s="20">
        <f t="shared" si="34"/>
        <v>61504</v>
      </c>
      <c r="J308" s="20">
        <f t="shared" si="34"/>
        <v>41504</v>
      </c>
      <c r="K308" s="20">
        <f t="shared" si="34"/>
        <v>14864</v>
      </c>
      <c r="L308" s="468"/>
      <c r="M308" s="469"/>
      <c r="P308" s="172">
        <f t="shared" si="25"/>
        <v>76368</v>
      </c>
      <c r="Q308" s="172">
        <f t="shared" si="26"/>
        <v>56368</v>
      </c>
    </row>
    <row r="309" spans="1:231" s="475" customFormat="1" ht="15.75">
      <c r="A309" s="175" t="s">
        <v>821</v>
      </c>
      <c r="B309" s="470" t="s">
        <v>967</v>
      </c>
      <c r="C309" s="471"/>
      <c r="D309" s="178"/>
      <c r="E309" s="178"/>
      <c r="F309" s="472"/>
      <c r="G309" s="104">
        <f>SUBTOTAL(109,G310:G311)</f>
        <v>39029</v>
      </c>
      <c r="H309" s="104">
        <f t="shared" ref="H309:K309" si="35">SUBTOTAL(109,H310:H311)</f>
        <v>39029</v>
      </c>
      <c r="I309" s="104">
        <f t="shared" si="35"/>
        <v>24050</v>
      </c>
      <c r="J309" s="104">
        <f t="shared" si="35"/>
        <v>24050</v>
      </c>
      <c r="K309" s="104">
        <f t="shared" si="35"/>
        <v>9634</v>
      </c>
      <c r="L309" s="473"/>
      <c r="M309" s="474"/>
      <c r="P309" s="172">
        <f t="shared" si="25"/>
        <v>33684</v>
      </c>
      <c r="Q309" s="172">
        <f t="shared" si="26"/>
        <v>33684</v>
      </c>
    </row>
    <row r="310" spans="1:231" s="289" customFormat="1" ht="31.5">
      <c r="A310" s="168">
        <v>1</v>
      </c>
      <c r="B310" s="62" t="s">
        <v>111</v>
      </c>
      <c r="C310" s="2" t="s">
        <v>9</v>
      </c>
      <c r="D310" s="3">
        <v>2010</v>
      </c>
      <c r="E310" s="3">
        <v>2014</v>
      </c>
      <c r="F310" s="185" t="s">
        <v>112</v>
      </c>
      <c r="G310" s="35">
        <v>22381</v>
      </c>
      <c r="H310" s="35">
        <v>22381</v>
      </c>
      <c r="I310" s="35">
        <v>14000</v>
      </c>
      <c r="J310" s="35">
        <v>14000</v>
      </c>
      <c r="K310" s="35">
        <v>4701</v>
      </c>
      <c r="L310" s="36" t="s">
        <v>814</v>
      </c>
      <c r="M310" s="221"/>
      <c r="N310" s="8"/>
      <c r="O310" s="8"/>
      <c r="P310" s="172">
        <f t="shared" si="25"/>
        <v>18701</v>
      </c>
      <c r="Q310" s="172">
        <f t="shared" si="26"/>
        <v>18701</v>
      </c>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c r="BB310" s="8"/>
      <c r="BC310" s="8"/>
      <c r="BD310" s="8"/>
      <c r="BE310" s="8"/>
      <c r="BF310" s="8"/>
      <c r="BG310" s="8"/>
      <c r="BH310" s="8"/>
      <c r="BI310" s="8"/>
      <c r="BJ310" s="8"/>
      <c r="BK310" s="8"/>
      <c r="BL310" s="8"/>
      <c r="BM310" s="8"/>
      <c r="BN310" s="8"/>
      <c r="BO310" s="8"/>
      <c r="BP310" s="8"/>
      <c r="BQ310" s="8"/>
      <c r="BR310" s="8"/>
      <c r="BS310" s="8"/>
      <c r="BT310" s="8"/>
      <c r="BU310" s="8"/>
      <c r="BV310" s="8"/>
      <c r="BW310" s="8"/>
      <c r="BX310" s="8"/>
      <c r="BY310" s="8"/>
      <c r="BZ310" s="8"/>
      <c r="CA310" s="8"/>
      <c r="CB310" s="8"/>
      <c r="CC310" s="8"/>
      <c r="CD310" s="8"/>
      <c r="CE310" s="8"/>
      <c r="CF310" s="8"/>
      <c r="CG310" s="8"/>
      <c r="CH310" s="8"/>
      <c r="CI310" s="8"/>
      <c r="CJ310" s="8"/>
      <c r="CK310" s="8"/>
      <c r="CL310" s="8"/>
      <c r="CM310" s="8"/>
      <c r="CN310" s="8"/>
      <c r="CO310" s="8"/>
      <c r="CP310" s="8"/>
      <c r="CQ310" s="8"/>
      <c r="CR310" s="8"/>
      <c r="CS310" s="8"/>
      <c r="CT310" s="8"/>
      <c r="CU310" s="8"/>
      <c r="CV310" s="8"/>
      <c r="CW310" s="8"/>
      <c r="CX310" s="8"/>
      <c r="CY310" s="8"/>
      <c r="CZ310" s="8"/>
      <c r="DA310" s="8"/>
      <c r="DB310" s="8"/>
      <c r="DC310" s="8"/>
      <c r="DD310" s="8"/>
      <c r="DE310" s="8"/>
      <c r="DF310" s="8"/>
      <c r="DG310" s="8"/>
      <c r="DH310" s="8"/>
      <c r="DI310" s="8"/>
      <c r="DJ310" s="8"/>
      <c r="DK310" s="8"/>
      <c r="DL310" s="8"/>
      <c r="DM310" s="8"/>
      <c r="DN310" s="8"/>
      <c r="DO310" s="8"/>
      <c r="DP310" s="8"/>
      <c r="DQ310" s="8"/>
      <c r="DR310" s="8"/>
      <c r="DS310" s="8"/>
      <c r="DT310" s="8"/>
      <c r="DU310" s="8"/>
      <c r="DV310" s="8"/>
      <c r="DW310" s="8"/>
      <c r="DX310" s="8"/>
      <c r="DY310" s="8"/>
      <c r="DZ310" s="8"/>
      <c r="EA310" s="8"/>
      <c r="EB310" s="8"/>
      <c r="EC310" s="8"/>
      <c r="ED310" s="8"/>
      <c r="EE310" s="8"/>
      <c r="EF310" s="8"/>
      <c r="EG310" s="8"/>
      <c r="EH310" s="8"/>
      <c r="EI310" s="8"/>
      <c r="EJ310" s="8"/>
      <c r="EK310" s="8"/>
      <c r="EL310" s="8"/>
      <c r="EM310" s="8"/>
      <c r="EN310" s="8"/>
      <c r="EO310" s="8"/>
      <c r="EP310" s="8"/>
      <c r="EQ310" s="8"/>
      <c r="ER310" s="8"/>
      <c r="ES310" s="8"/>
      <c r="ET310" s="8"/>
      <c r="EU310" s="8"/>
      <c r="EV310" s="8"/>
      <c r="EW310" s="8"/>
      <c r="EX310" s="8"/>
      <c r="EY310" s="8"/>
      <c r="EZ310" s="8"/>
      <c r="FA310" s="8"/>
      <c r="FB310" s="8"/>
      <c r="FC310" s="8"/>
      <c r="FD310" s="8"/>
      <c r="FE310" s="8"/>
      <c r="FF310" s="8"/>
      <c r="FG310" s="8"/>
      <c r="FH310" s="8"/>
      <c r="FI310" s="8"/>
      <c r="FJ310" s="8"/>
      <c r="FK310" s="8"/>
      <c r="FL310" s="8"/>
      <c r="FM310" s="8"/>
      <c r="FN310" s="8"/>
      <c r="FO310" s="8"/>
      <c r="FP310" s="8"/>
      <c r="FQ310" s="8"/>
      <c r="FR310" s="8"/>
      <c r="FS310" s="8"/>
      <c r="FT310" s="8"/>
      <c r="FU310" s="8"/>
      <c r="FV310" s="8"/>
      <c r="FW310" s="8"/>
      <c r="FX310" s="8"/>
      <c r="FY310" s="8"/>
      <c r="FZ310" s="8"/>
      <c r="GA310" s="8"/>
      <c r="GB310" s="8"/>
      <c r="GC310" s="8"/>
      <c r="GD310" s="8"/>
      <c r="GE310" s="8"/>
      <c r="GF310" s="8"/>
      <c r="GG310" s="8"/>
      <c r="GH310" s="8"/>
      <c r="GI310" s="8"/>
      <c r="GJ310" s="8"/>
      <c r="GK310" s="8"/>
      <c r="GL310" s="8"/>
      <c r="GM310" s="8"/>
      <c r="GN310" s="8"/>
      <c r="GO310" s="8"/>
      <c r="GP310" s="8"/>
      <c r="GQ310" s="8"/>
      <c r="GR310" s="8"/>
      <c r="GS310" s="8"/>
      <c r="GT310" s="8"/>
      <c r="GU310" s="8"/>
      <c r="GV310" s="8"/>
      <c r="GW310" s="8"/>
      <c r="GX310" s="8"/>
      <c r="GY310" s="8"/>
      <c r="GZ310" s="8"/>
      <c r="HA310" s="8"/>
      <c r="HB310" s="8"/>
      <c r="HC310" s="8"/>
      <c r="HD310" s="8"/>
      <c r="HE310" s="8"/>
      <c r="HF310" s="8"/>
      <c r="HG310" s="8"/>
      <c r="HH310" s="8"/>
      <c r="HI310" s="8"/>
      <c r="HJ310" s="8"/>
      <c r="HK310" s="8"/>
      <c r="HL310" s="8"/>
      <c r="HM310" s="8"/>
      <c r="HN310" s="8"/>
      <c r="HO310" s="8"/>
      <c r="HP310" s="8"/>
      <c r="HQ310" s="8"/>
      <c r="HR310" s="8"/>
      <c r="HS310" s="8"/>
      <c r="HT310" s="8"/>
      <c r="HU310" s="8"/>
      <c r="HV310" s="8"/>
      <c r="HW310" s="8"/>
    </row>
    <row r="311" spans="1:231" s="8" customFormat="1" ht="57.75" customHeight="1">
      <c r="A311" s="10">
        <v>2</v>
      </c>
      <c r="B311" s="62" t="s">
        <v>147</v>
      </c>
      <c r="C311" s="218" t="s">
        <v>10</v>
      </c>
      <c r="D311" s="3">
        <v>2013</v>
      </c>
      <c r="E311" s="3">
        <v>2015</v>
      </c>
      <c r="F311" s="185" t="s">
        <v>148</v>
      </c>
      <c r="G311" s="35">
        <v>16648</v>
      </c>
      <c r="H311" s="35">
        <f>G311</f>
        <v>16648</v>
      </c>
      <c r="I311" s="35">
        <v>10050</v>
      </c>
      <c r="J311" s="35">
        <v>10050</v>
      </c>
      <c r="K311" s="35">
        <v>4933</v>
      </c>
      <c r="L311" s="36" t="s">
        <v>1039</v>
      </c>
      <c r="M311" s="221"/>
      <c r="N311" s="305"/>
      <c r="O311" s="305"/>
      <c r="P311" s="172">
        <f t="shared" si="25"/>
        <v>14983</v>
      </c>
      <c r="Q311" s="172">
        <f t="shared" si="26"/>
        <v>14983</v>
      </c>
      <c r="R311" s="305"/>
      <c r="S311" s="305"/>
      <c r="T311" s="305"/>
      <c r="U311" s="305"/>
      <c r="V311" s="305"/>
      <c r="W311" s="305"/>
      <c r="X311" s="305"/>
      <c r="Y311" s="305"/>
      <c r="Z311" s="305"/>
      <c r="AA311" s="305"/>
      <c r="AB311" s="305"/>
      <c r="AC311" s="305"/>
      <c r="AD311" s="305"/>
      <c r="AE311" s="305"/>
      <c r="AF311" s="305"/>
      <c r="AG311" s="305"/>
      <c r="AH311" s="305"/>
      <c r="AI311" s="305"/>
      <c r="AJ311" s="305"/>
      <c r="AK311" s="305"/>
      <c r="AL311" s="305"/>
      <c r="AM311" s="305"/>
      <c r="AN311" s="305"/>
      <c r="AO311" s="305"/>
      <c r="AP311" s="305"/>
      <c r="AQ311" s="305"/>
      <c r="AR311" s="305"/>
      <c r="AS311" s="305"/>
      <c r="AT311" s="305"/>
      <c r="AU311" s="305"/>
      <c r="AV311" s="305"/>
      <c r="AW311" s="305"/>
      <c r="AX311" s="305"/>
      <c r="AY311" s="305"/>
      <c r="AZ311" s="305"/>
      <c r="BA311" s="305"/>
      <c r="BB311" s="305"/>
      <c r="BC311" s="305"/>
      <c r="BD311" s="305"/>
      <c r="BE311" s="305"/>
      <c r="BF311" s="305"/>
      <c r="BG311" s="305"/>
      <c r="BH311" s="305"/>
      <c r="BI311" s="305"/>
      <c r="BJ311" s="305"/>
      <c r="BK311" s="305"/>
      <c r="BL311" s="305"/>
      <c r="BM311" s="305"/>
      <c r="BN311" s="305"/>
      <c r="BO311" s="305"/>
      <c r="BP311" s="305"/>
      <c r="BQ311" s="305"/>
      <c r="BR311" s="305"/>
      <c r="BS311" s="305"/>
      <c r="BT311" s="305"/>
      <c r="BU311" s="305"/>
      <c r="BV311" s="305"/>
      <c r="BW311" s="305"/>
      <c r="BX311" s="305"/>
      <c r="BY311" s="305"/>
      <c r="BZ311" s="305"/>
      <c r="CA311" s="305"/>
      <c r="CB311" s="305"/>
      <c r="CC311" s="305"/>
      <c r="CD311" s="305"/>
      <c r="CE311" s="305"/>
      <c r="CF311" s="305"/>
      <c r="CG311" s="305"/>
      <c r="CH311" s="305"/>
      <c r="CI311" s="305"/>
      <c r="CJ311" s="305"/>
      <c r="CK311" s="305"/>
      <c r="CL311" s="305"/>
      <c r="CM311" s="305"/>
      <c r="CN311" s="305"/>
      <c r="CO311" s="305"/>
      <c r="CP311" s="305"/>
      <c r="CQ311" s="305"/>
      <c r="CR311" s="305"/>
      <c r="CS311" s="305"/>
      <c r="CT311" s="305"/>
      <c r="CU311" s="305"/>
      <c r="CV311" s="305"/>
      <c r="CW311" s="305"/>
      <c r="CX311" s="305"/>
      <c r="CY311" s="305"/>
      <c r="CZ311" s="305"/>
      <c r="DA311" s="305"/>
      <c r="DB311" s="305"/>
      <c r="DC311" s="305"/>
      <c r="DD311" s="305"/>
      <c r="DE311" s="305"/>
      <c r="DF311" s="305"/>
      <c r="DG311" s="305"/>
      <c r="DH311" s="305"/>
      <c r="DI311" s="305"/>
      <c r="DJ311" s="305"/>
      <c r="DK311" s="305"/>
      <c r="DL311" s="305"/>
      <c r="DM311" s="305"/>
      <c r="DN311" s="305"/>
      <c r="DO311" s="305"/>
      <c r="DP311" s="305"/>
      <c r="DQ311" s="305"/>
      <c r="DR311" s="305"/>
      <c r="DS311" s="305"/>
      <c r="DT311" s="305"/>
      <c r="DU311" s="305"/>
      <c r="DV311" s="305"/>
      <c r="DW311" s="305"/>
      <c r="DX311" s="305"/>
      <c r="DY311" s="305"/>
      <c r="DZ311" s="305"/>
      <c r="EA311" s="305"/>
      <c r="EB311" s="305"/>
      <c r="EC311" s="305"/>
      <c r="ED311" s="305"/>
      <c r="EE311" s="305"/>
      <c r="EF311" s="305"/>
      <c r="EG311" s="305"/>
      <c r="EH311" s="305"/>
      <c r="EI311" s="305"/>
      <c r="EJ311" s="305"/>
      <c r="EK311" s="305"/>
      <c r="EL311" s="305"/>
      <c r="EM311" s="305"/>
      <c r="EN311" s="305"/>
      <c r="EO311" s="305"/>
      <c r="EP311" s="305"/>
      <c r="EQ311" s="305"/>
      <c r="ER311" s="305"/>
      <c r="ES311" s="305"/>
      <c r="ET311" s="305"/>
      <c r="EU311" s="305"/>
      <c r="EV311" s="305"/>
      <c r="EW311" s="305"/>
      <c r="EX311" s="305"/>
      <c r="EY311" s="305"/>
      <c r="EZ311" s="305"/>
      <c r="FA311" s="305"/>
      <c r="FB311" s="305"/>
      <c r="FC311" s="305"/>
      <c r="FD311" s="305"/>
      <c r="FE311" s="305"/>
      <c r="FF311" s="305"/>
      <c r="FG311" s="305"/>
      <c r="FH311" s="305"/>
      <c r="FI311" s="305"/>
      <c r="FJ311" s="305"/>
      <c r="FK311" s="305"/>
      <c r="FL311" s="305"/>
      <c r="FM311" s="305"/>
      <c r="FN311" s="305"/>
      <c r="FO311" s="305"/>
      <c r="FP311" s="305"/>
      <c r="FQ311" s="305"/>
      <c r="FR311" s="305"/>
      <c r="FS311" s="305"/>
      <c r="FT311" s="305"/>
      <c r="FU311" s="305"/>
      <c r="FV311" s="305"/>
      <c r="FW311" s="305"/>
      <c r="FX311" s="305"/>
      <c r="FY311" s="305"/>
      <c r="FZ311" s="305"/>
      <c r="GA311" s="305"/>
      <c r="GB311" s="305"/>
      <c r="GC311" s="305"/>
      <c r="GD311" s="305"/>
      <c r="GE311" s="305"/>
      <c r="GF311" s="305"/>
      <c r="GG311" s="305"/>
      <c r="GH311" s="305"/>
      <c r="GI311" s="305"/>
      <c r="GJ311" s="305"/>
      <c r="GK311" s="305"/>
      <c r="GL311" s="305"/>
      <c r="GM311" s="305"/>
      <c r="GN311" s="305"/>
      <c r="GO311" s="305"/>
      <c r="GP311" s="305"/>
      <c r="GQ311" s="305"/>
      <c r="GR311" s="305"/>
      <c r="GS311" s="305"/>
      <c r="GT311" s="305"/>
      <c r="GU311" s="305"/>
      <c r="GV311" s="305"/>
      <c r="GW311" s="305"/>
      <c r="GX311" s="305"/>
      <c r="GY311" s="305"/>
      <c r="GZ311" s="305"/>
      <c r="HA311" s="305"/>
      <c r="HB311" s="305"/>
      <c r="HC311" s="305"/>
      <c r="HD311" s="305"/>
      <c r="HE311" s="305"/>
      <c r="HF311" s="305"/>
      <c r="HG311" s="305"/>
      <c r="HH311" s="305"/>
      <c r="HI311" s="305"/>
      <c r="HJ311" s="305"/>
      <c r="HK311" s="305"/>
      <c r="HL311" s="305"/>
      <c r="HM311" s="305"/>
      <c r="HN311" s="305"/>
      <c r="HO311" s="305"/>
      <c r="HP311" s="305"/>
      <c r="HQ311" s="305"/>
      <c r="HR311" s="305"/>
      <c r="HS311" s="305"/>
      <c r="HT311" s="305"/>
      <c r="HU311" s="305"/>
      <c r="HV311" s="305"/>
      <c r="HW311" s="305"/>
    </row>
    <row r="312" spans="1:231" s="8" customFormat="1" ht="15.75">
      <c r="A312" s="175" t="s">
        <v>825</v>
      </c>
      <c r="B312" s="470" t="s">
        <v>1057</v>
      </c>
      <c r="C312" s="218"/>
      <c r="D312" s="3"/>
      <c r="E312" s="3"/>
      <c r="F312" s="185"/>
      <c r="G312" s="104">
        <f>SUBTOTAL(109,G313:G313)</f>
        <v>6508</v>
      </c>
      <c r="H312" s="104">
        <f t="shared" ref="H312:K312" si="36">SUBTOTAL(109,H313:H313)</f>
        <v>6508</v>
      </c>
      <c r="I312" s="104">
        <f t="shared" si="36"/>
        <v>4500</v>
      </c>
      <c r="J312" s="104">
        <f t="shared" si="36"/>
        <v>4500</v>
      </c>
      <c r="K312" s="104">
        <f t="shared" si="36"/>
        <v>1357</v>
      </c>
      <c r="L312" s="36"/>
      <c r="M312" s="221"/>
      <c r="N312" s="305"/>
      <c r="O312" s="305"/>
      <c r="P312" s="172">
        <f t="shared" si="25"/>
        <v>5857</v>
      </c>
      <c r="Q312" s="172">
        <f t="shared" si="26"/>
        <v>5857</v>
      </c>
      <c r="R312" s="305"/>
      <c r="S312" s="305"/>
      <c r="T312" s="305"/>
      <c r="U312" s="305"/>
      <c r="V312" s="305"/>
      <c r="W312" s="305"/>
      <c r="X312" s="305"/>
      <c r="Y312" s="305"/>
      <c r="Z312" s="305"/>
      <c r="AA312" s="305"/>
      <c r="AB312" s="305"/>
      <c r="AC312" s="305"/>
      <c r="AD312" s="305"/>
      <c r="AE312" s="305"/>
      <c r="AF312" s="305"/>
      <c r="AG312" s="305"/>
      <c r="AH312" s="305"/>
      <c r="AI312" s="305"/>
      <c r="AJ312" s="305"/>
      <c r="AK312" s="305"/>
      <c r="AL312" s="305"/>
      <c r="AM312" s="305"/>
      <c r="AN312" s="305"/>
      <c r="AO312" s="305"/>
      <c r="AP312" s="305"/>
      <c r="AQ312" s="305"/>
      <c r="AR312" s="305"/>
      <c r="AS312" s="305"/>
      <c r="AT312" s="305"/>
      <c r="AU312" s="305"/>
      <c r="AV312" s="305"/>
      <c r="AW312" s="305"/>
      <c r="AX312" s="305"/>
      <c r="AY312" s="305"/>
      <c r="AZ312" s="305"/>
      <c r="BA312" s="305"/>
      <c r="BB312" s="305"/>
      <c r="BC312" s="305"/>
      <c r="BD312" s="305"/>
      <c r="BE312" s="305"/>
      <c r="BF312" s="305"/>
      <c r="BG312" s="305"/>
      <c r="BH312" s="305"/>
      <c r="BI312" s="305"/>
      <c r="BJ312" s="305"/>
      <c r="BK312" s="305"/>
      <c r="BL312" s="305"/>
      <c r="BM312" s="305"/>
      <c r="BN312" s="305"/>
      <c r="BO312" s="305"/>
      <c r="BP312" s="305"/>
      <c r="BQ312" s="305"/>
      <c r="BR312" s="305"/>
      <c r="BS312" s="305"/>
      <c r="BT312" s="305"/>
      <c r="BU312" s="305"/>
      <c r="BV312" s="305"/>
      <c r="BW312" s="305"/>
      <c r="BX312" s="305"/>
      <c r="BY312" s="305"/>
      <c r="BZ312" s="305"/>
      <c r="CA312" s="305"/>
      <c r="CB312" s="305"/>
      <c r="CC312" s="305"/>
      <c r="CD312" s="305"/>
      <c r="CE312" s="305"/>
      <c r="CF312" s="305"/>
      <c r="CG312" s="305"/>
      <c r="CH312" s="305"/>
      <c r="CI312" s="305"/>
      <c r="CJ312" s="305"/>
      <c r="CK312" s="305"/>
      <c r="CL312" s="305"/>
      <c r="CM312" s="305"/>
      <c r="CN312" s="305"/>
      <c r="CO312" s="305"/>
      <c r="CP312" s="305"/>
      <c r="CQ312" s="305"/>
      <c r="CR312" s="305"/>
      <c r="CS312" s="305"/>
      <c r="CT312" s="305"/>
      <c r="CU312" s="305"/>
      <c r="CV312" s="305"/>
      <c r="CW312" s="305"/>
      <c r="CX312" s="305"/>
      <c r="CY312" s="305"/>
      <c r="CZ312" s="305"/>
      <c r="DA312" s="305"/>
      <c r="DB312" s="305"/>
      <c r="DC312" s="305"/>
      <c r="DD312" s="305"/>
      <c r="DE312" s="305"/>
      <c r="DF312" s="305"/>
      <c r="DG312" s="305"/>
      <c r="DH312" s="305"/>
      <c r="DI312" s="305"/>
      <c r="DJ312" s="305"/>
      <c r="DK312" s="305"/>
      <c r="DL312" s="305"/>
      <c r="DM312" s="305"/>
      <c r="DN312" s="305"/>
      <c r="DO312" s="305"/>
      <c r="DP312" s="305"/>
      <c r="DQ312" s="305"/>
      <c r="DR312" s="305"/>
      <c r="DS312" s="305"/>
      <c r="DT312" s="305"/>
      <c r="DU312" s="305"/>
      <c r="DV312" s="305"/>
      <c r="DW312" s="305"/>
      <c r="DX312" s="305"/>
      <c r="DY312" s="305"/>
      <c r="DZ312" s="305"/>
      <c r="EA312" s="305"/>
      <c r="EB312" s="305"/>
      <c r="EC312" s="305"/>
      <c r="ED312" s="305"/>
      <c r="EE312" s="305"/>
      <c r="EF312" s="305"/>
      <c r="EG312" s="305"/>
      <c r="EH312" s="305"/>
      <c r="EI312" s="305"/>
      <c r="EJ312" s="305"/>
      <c r="EK312" s="305"/>
      <c r="EL312" s="305"/>
      <c r="EM312" s="305"/>
      <c r="EN312" s="305"/>
      <c r="EO312" s="305"/>
      <c r="EP312" s="305"/>
      <c r="EQ312" s="305"/>
      <c r="ER312" s="305"/>
      <c r="ES312" s="305"/>
      <c r="ET312" s="305"/>
      <c r="EU312" s="305"/>
      <c r="EV312" s="305"/>
      <c r="EW312" s="305"/>
      <c r="EX312" s="305"/>
      <c r="EY312" s="305"/>
      <c r="EZ312" s="305"/>
      <c r="FA312" s="305"/>
      <c r="FB312" s="305"/>
      <c r="FC312" s="305"/>
      <c r="FD312" s="305"/>
      <c r="FE312" s="305"/>
      <c r="FF312" s="305"/>
      <c r="FG312" s="305"/>
      <c r="FH312" s="305"/>
      <c r="FI312" s="305"/>
      <c r="FJ312" s="305"/>
      <c r="FK312" s="305"/>
      <c r="FL312" s="305"/>
      <c r="FM312" s="305"/>
      <c r="FN312" s="305"/>
      <c r="FO312" s="305"/>
      <c r="FP312" s="305"/>
      <c r="FQ312" s="305"/>
      <c r="FR312" s="305"/>
      <c r="FS312" s="305"/>
      <c r="FT312" s="305"/>
      <c r="FU312" s="305"/>
      <c r="FV312" s="305"/>
      <c r="FW312" s="305"/>
      <c r="FX312" s="305"/>
      <c r="FY312" s="305"/>
      <c r="FZ312" s="305"/>
      <c r="GA312" s="305"/>
      <c r="GB312" s="305"/>
      <c r="GC312" s="305"/>
      <c r="GD312" s="305"/>
      <c r="GE312" s="305"/>
      <c r="GF312" s="305"/>
      <c r="GG312" s="305"/>
      <c r="GH312" s="305"/>
      <c r="GI312" s="305"/>
      <c r="GJ312" s="305"/>
      <c r="GK312" s="305"/>
      <c r="GL312" s="305"/>
      <c r="GM312" s="305"/>
      <c r="GN312" s="305"/>
      <c r="GO312" s="305"/>
      <c r="GP312" s="305"/>
      <c r="GQ312" s="305"/>
      <c r="GR312" s="305"/>
      <c r="GS312" s="305"/>
      <c r="GT312" s="305"/>
      <c r="GU312" s="305"/>
      <c r="GV312" s="305"/>
      <c r="GW312" s="305"/>
      <c r="GX312" s="305"/>
      <c r="GY312" s="305"/>
      <c r="GZ312" s="305"/>
      <c r="HA312" s="305"/>
      <c r="HB312" s="305"/>
      <c r="HC312" s="305"/>
      <c r="HD312" s="305"/>
      <c r="HE312" s="305"/>
      <c r="HF312" s="305"/>
      <c r="HG312" s="305"/>
      <c r="HH312" s="305"/>
      <c r="HI312" s="305"/>
      <c r="HJ312" s="305"/>
      <c r="HK312" s="305"/>
      <c r="HL312" s="305"/>
      <c r="HM312" s="305"/>
      <c r="HN312" s="305"/>
      <c r="HO312" s="305"/>
      <c r="HP312" s="305"/>
      <c r="HQ312" s="305"/>
      <c r="HR312" s="305"/>
      <c r="HS312" s="305"/>
      <c r="HT312" s="305"/>
      <c r="HU312" s="305"/>
      <c r="HV312" s="305"/>
      <c r="HW312" s="305"/>
    </row>
    <row r="313" spans="1:231" s="15" customFormat="1" ht="34.5" customHeight="1">
      <c r="A313" s="10">
        <v>1</v>
      </c>
      <c r="B313" s="13" t="s">
        <v>141</v>
      </c>
      <c r="C313" s="409" t="s">
        <v>49</v>
      </c>
      <c r="D313" s="170">
        <v>2016</v>
      </c>
      <c r="E313" s="170">
        <v>2018</v>
      </c>
      <c r="F313" s="389" t="s">
        <v>142</v>
      </c>
      <c r="G313" s="313">
        <v>6508</v>
      </c>
      <c r="H313" s="313">
        <v>6508</v>
      </c>
      <c r="I313" s="313">
        <v>4500</v>
      </c>
      <c r="J313" s="313">
        <v>4500</v>
      </c>
      <c r="K313" s="313">
        <v>1357</v>
      </c>
      <c r="L313" s="315" t="s">
        <v>1085</v>
      </c>
      <c r="M313" s="316"/>
      <c r="P313" s="172">
        <f t="shared" si="25"/>
        <v>5857</v>
      </c>
      <c r="Q313" s="172">
        <f t="shared" si="26"/>
        <v>5857</v>
      </c>
    </row>
    <row r="314" spans="1:231" s="15" customFormat="1" ht="15.75">
      <c r="A314" s="175" t="s">
        <v>897</v>
      </c>
      <c r="B314" s="470" t="s">
        <v>1086</v>
      </c>
      <c r="C314" s="409"/>
      <c r="D314" s="170"/>
      <c r="E314" s="170"/>
      <c r="F314" s="389"/>
      <c r="G314" s="104">
        <f>SUBTOTAL(109,G315:G316)</f>
        <v>145630</v>
      </c>
      <c r="H314" s="104">
        <f t="shared" ref="H314:K314" si="37">SUBTOTAL(109,H315:H316)</f>
        <v>23000</v>
      </c>
      <c r="I314" s="104">
        <f t="shared" si="37"/>
        <v>32954</v>
      </c>
      <c r="J314" s="104">
        <f t="shared" si="37"/>
        <v>12954</v>
      </c>
      <c r="K314" s="104">
        <f t="shared" si="37"/>
        <v>3873</v>
      </c>
      <c r="L314" s="315"/>
      <c r="M314" s="316"/>
      <c r="P314" s="172">
        <f t="shared" si="25"/>
        <v>36827</v>
      </c>
      <c r="Q314" s="172">
        <f t="shared" si="26"/>
        <v>16827</v>
      </c>
    </row>
    <row r="315" spans="1:231" ht="47.25">
      <c r="A315" s="10">
        <v>1</v>
      </c>
      <c r="B315" s="25" t="s">
        <v>505</v>
      </c>
      <c r="C315" s="422" t="s">
        <v>44</v>
      </c>
      <c r="D315" s="415">
        <v>2017</v>
      </c>
      <c r="E315" s="415">
        <v>2019</v>
      </c>
      <c r="F315" s="423" t="s">
        <v>1087</v>
      </c>
      <c r="G315" s="288">
        <v>6000</v>
      </c>
      <c r="H315" s="403">
        <v>6000</v>
      </c>
      <c r="I315" s="418">
        <v>500</v>
      </c>
      <c r="J315" s="418">
        <v>500</v>
      </c>
      <c r="K315" s="441">
        <f>2450</f>
        <v>2450</v>
      </c>
      <c r="L315" s="424" t="s">
        <v>860</v>
      </c>
      <c r="M315" s="476" t="s">
        <v>1088</v>
      </c>
      <c r="N315" s="404">
        <f>1100+1350</f>
        <v>2450</v>
      </c>
      <c r="P315" s="172">
        <f t="shared" si="25"/>
        <v>2950</v>
      </c>
      <c r="Q315" s="172">
        <f t="shared" si="26"/>
        <v>2950</v>
      </c>
    </row>
    <row r="316" spans="1:231" s="12" customFormat="1" ht="44.25" customHeight="1">
      <c r="A316" s="10">
        <v>2</v>
      </c>
      <c r="B316" s="169" t="s">
        <v>113</v>
      </c>
      <c r="C316" s="4" t="s">
        <v>355</v>
      </c>
      <c r="D316" s="3">
        <v>2015</v>
      </c>
      <c r="E316" s="3">
        <v>2020</v>
      </c>
      <c r="F316" s="420" t="s">
        <v>114</v>
      </c>
      <c r="G316" s="288">
        <v>139630</v>
      </c>
      <c r="H316" s="288">
        <v>17000</v>
      </c>
      <c r="I316" s="288">
        <v>32454</v>
      </c>
      <c r="J316" s="288">
        <v>12454</v>
      </c>
      <c r="K316" s="288">
        <v>1423</v>
      </c>
      <c r="L316" s="36" t="s">
        <v>1089</v>
      </c>
      <c r="M316" s="221"/>
      <c r="P316" s="172">
        <f t="shared" si="25"/>
        <v>33877</v>
      </c>
      <c r="Q316" s="172">
        <f t="shared" si="26"/>
        <v>13877</v>
      </c>
    </row>
  </sheetData>
  <mergeCells count="20">
    <mergeCell ref="A1:L1"/>
    <mergeCell ref="A2:L2"/>
    <mergeCell ref="A4:A7"/>
    <mergeCell ref="B4:B7"/>
    <mergeCell ref="C4:C7"/>
    <mergeCell ref="D4:D7"/>
    <mergeCell ref="E4:E7"/>
    <mergeCell ref="F4:H4"/>
    <mergeCell ref="I4:J5"/>
    <mergeCell ref="K4:K7"/>
    <mergeCell ref="L4:L7"/>
    <mergeCell ref="P4:Q5"/>
    <mergeCell ref="F5:F7"/>
    <mergeCell ref="G5:H5"/>
    <mergeCell ref="G6:G7"/>
    <mergeCell ref="H6:H7"/>
    <mergeCell ref="I6:I7"/>
    <mergeCell ref="J6:J7"/>
    <mergeCell ref="P6:P7"/>
    <mergeCell ref="Q6:Q7"/>
  </mergeCells>
  <pageMargins left="0.40118110200000001" right="0.222440945" top="0.57677165399999997" bottom="0.57677165399999997" header="0.31496062992126" footer="0.31496062992126"/>
  <pageSetup paperSize="9" scale="78" orientation="landscape" r:id="rId1"/>
  <headerFooter>
    <oddFoote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view="pageLayout" topLeftCell="A19" zoomScale="55" zoomScaleNormal="70" zoomScalePageLayoutView="55" workbookViewId="0">
      <selection activeCell="N23" sqref="N23"/>
    </sheetView>
  </sheetViews>
  <sheetFormatPr defaultColWidth="9" defaultRowHeight="15.75"/>
  <cols>
    <col min="1" max="1" width="5.625" style="73" customWidth="1"/>
    <col min="2" max="2" width="55.625" style="50" customWidth="1"/>
    <col min="3" max="3" width="12.625" style="50" customWidth="1"/>
    <col min="4" max="4" width="12.625" style="50" hidden="1" customWidth="1"/>
    <col min="5" max="5" width="8.625" style="51" customWidth="1"/>
    <col min="6" max="6" width="8.625" style="52" customWidth="1"/>
    <col min="7" max="7" width="16.625" style="50" customWidth="1"/>
    <col min="8" max="13" width="10.625" style="49" customWidth="1"/>
    <col min="14" max="14" width="10.625" style="50" customWidth="1"/>
    <col min="15" max="15" width="5.625" style="50" customWidth="1"/>
    <col min="16" max="16" width="20.625" style="49" customWidth="1"/>
    <col min="17" max="17" width="20.625" style="49" hidden="1" customWidth="1"/>
    <col min="18" max="16384" width="9" style="49"/>
  </cols>
  <sheetData>
    <row r="1" spans="1:17" s="31" customFormat="1">
      <c r="A1" s="82" t="s">
        <v>679</v>
      </c>
      <c r="B1" s="82"/>
      <c r="C1" s="82"/>
      <c r="D1" s="82"/>
      <c r="E1" s="84"/>
      <c r="F1" s="85"/>
      <c r="G1" s="82"/>
      <c r="N1" s="82"/>
      <c r="O1" s="82"/>
    </row>
    <row r="2" spans="1:17">
      <c r="A2" s="49" t="s">
        <v>1589</v>
      </c>
      <c r="C2" s="73"/>
      <c r="D2" s="73"/>
      <c r="G2" s="73"/>
      <c r="O2" s="74"/>
    </row>
    <row r="3" spans="1:17" s="87" customFormat="1">
      <c r="B3" s="88"/>
      <c r="C3" s="89"/>
      <c r="D3" s="89"/>
      <c r="E3" s="90"/>
      <c r="F3" s="91"/>
      <c r="G3" s="89"/>
      <c r="N3" s="88"/>
      <c r="O3" s="92"/>
      <c r="P3" s="93" t="s">
        <v>650</v>
      </c>
      <c r="Q3" s="93" t="s">
        <v>650</v>
      </c>
    </row>
    <row r="4" spans="1:17" s="8" customFormat="1">
      <c r="A4" s="1771" t="s">
        <v>469</v>
      </c>
      <c r="B4" s="1777" t="s">
        <v>1</v>
      </c>
      <c r="C4" s="1774" t="s">
        <v>651</v>
      </c>
      <c r="D4" s="1787" t="s">
        <v>2060</v>
      </c>
      <c r="E4" s="1778" t="s">
        <v>341</v>
      </c>
      <c r="F4" s="1779" t="s">
        <v>165</v>
      </c>
      <c r="G4" s="1772" t="s">
        <v>3</v>
      </c>
      <c r="H4" s="1772"/>
      <c r="I4" s="1773"/>
      <c r="J4" s="1767" t="s">
        <v>788</v>
      </c>
      <c r="K4" s="1767"/>
      <c r="L4" s="1771" t="s">
        <v>611</v>
      </c>
      <c r="M4" s="1771"/>
      <c r="N4" s="1764" t="s">
        <v>790</v>
      </c>
      <c r="O4" s="1764" t="s">
        <v>628</v>
      </c>
      <c r="P4" s="1767" t="s">
        <v>4</v>
      </c>
      <c r="Q4" s="1767" t="s">
        <v>4</v>
      </c>
    </row>
    <row r="5" spans="1:17" s="8" customFormat="1">
      <c r="A5" s="1771"/>
      <c r="B5" s="1777"/>
      <c r="C5" s="1775"/>
      <c r="D5" s="1775"/>
      <c r="E5" s="1778"/>
      <c r="F5" s="1779"/>
      <c r="G5" s="1774" t="s">
        <v>613</v>
      </c>
      <c r="H5" s="1767" t="s">
        <v>6</v>
      </c>
      <c r="I5" s="1767"/>
      <c r="J5" s="1767"/>
      <c r="K5" s="1767"/>
      <c r="L5" s="1771"/>
      <c r="M5" s="1771"/>
      <c r="N5" s="1765"/>
      <c r="O5" s="1765"/>
      <c r="P5" s="1767"/>
      <c r="Q5" s="1767"/>
    </row>
    <row r="6" spans="1:17" s="8" customFormat="1">
      <c r="A6" s="1771"/>
      <c r="B6" s="1777"/>
      <c r="C6" s="1775"/>
      <c r="D6" s="1775"/>
      <c r="E6" s="1778"/>
      <c r="F6" s="1779"/>
      <c r="G6" s="1775"/>
      <c r="H6" s="1764" t="s">
        <v>8</v>
      </c>
      <c r="I6" s="1769" t="s">
        <v>615</v>
      </c>
      <c r="J6" s="1767" t="s">
        <v>8</v>
      </c>
      <c r="K6" s="1769" t="s">
        <v>615</v>
      </c>
      <c r="L6" s="1764" t="s">
        <v>8</v>
      </c>
      <c r="M6" s="1764" t="s">
        <v>789</v>
      </c>
      <c r="N6" s="1765"/>
      <c r="O6" s="1765"/>
      <c r="P6" s="1767"/>
      <c r="Q6" s="1767"/>
    </row>
    <row r="7" spans="1:17" s="8" customFormat="1">
      <c r="A7" s="1771"/>
      <c r="B7" s="1777"/>
      <c r="C7" s="1776"/>
      <c r="D7" s="1776"/>
      <c r="E7" s="1778"/>
      <c r="F7" s="1779"/>
      <c r="G7" s="1776"/>
      <c r="H7" s="1766"/>
      <c r="I7" s="1770"/>
      <c r="J7" s="1767"/>
      <c r="K7" s="1770"/>
      <c r="L7" s="1766"/>
      <c r="M7" s="1766"/>
      <c r="N7" s="1766"/>
      <c r="O7" s="1766"/>
      <c r="P7" s="1768"/>
      <c r="Q7" s="1768"/>
    </row>
    <row r="8" spans="1:17" s="75" customFormat="1" ht="33" customHeight="1">
      <c r="A8" s="719"/>
      <c r="B8" s="721" t="s">
        <v>470</v>
      </c>
      <c r="C8" s="719"/>
      <c r="D8" s="724"/>
      <c r="E8" s="719"/>
      <c r="F8" s="719"/>
      <c r="G8" s="719"/>
      <c r="H8" s="20">
        <f t="shared" ref="H8:M8" si="0">SUBTOTAL(109,H9:H200)</f>
        <v>97723</v>
      </c>
      <c r="I8" s="20">
        <f t="shared" si="0"/>
        <v>79112</v>
      </c>
      <c r="J8" s="20">
        <f t="shared" si="0"/>
        <v>10882</v>
      </c>
      <c r="K8" s="20">
        <f t="shared" si="0"/>
        <v>10882</v>
      </c>
      <c r="L8" s="20">
        <f t="shared" si="0"/>
        <v>63861</v>
      </c>
      <c r="M8" s="20">
        <f t="shared" si="0"/>
        <v>52979</v>
      </c>
      <c r="N8" s="20">
        <f>SUBTOTAL(109,N9:N200)</f>
        <v>27564.5</v>
      </c>
      <c r="O8" s="20"/>
      <c r="P8" s="20"/>
      <c r="Q8" s="20"/>
    </row>
    <row r="9" spans="1:17" s="662" customFormat="1" ht="33" customHeight="1">
      <c r="A9" s="732" t="s">
        <v>471</v>
      </c>
      <c r="B9" s="733" t="s">
        <v>1625</v>
      </c>
      <c r="C9" s="732"/>
      <c r="D9" s="732"/>
      <c r="E9" s="732"/>
      <c r="F9" s="732"/>
      <c r="G9" s="732"/>
      <c r="H9" s="729">
        <f t="shared" ref="H9:M9" si="1">SUBTOTAL(109,H10:H15)</f>
        <v>42341</v>
      </c>
      <c r="I9" s="729">
        <f t="shared" si="1"/>
        <v>34112</v>
      </c>
      <c r="J9" s="729">
        <f t="shared" si="1"/>
        <v>10882</v>
      </c>
      <c r="K9" s="729">
        <f t="shared" si="1"/>
        <v>10882</v>
      </c>
      <c r="L9" s="729">
        <f t="shared" si="1"/>
        <v>30981</v>
      </c>
      <c r="M9" s="729">
        <f t="shared" si="1"/>
        <v>20099</v>
      </c>
      <c r="N9" s="729">
        <f>SUBTOTAL(109,N10:N15)</f>
        <v>11124.5</v>
      </c>
      <c r="O9" s="729"/>
      <c r="P9" s="729"/>
      <c r="Q9" s="729"/>
    </row>
    <row r="10" spans="1:17" ht="33" customHeight="1">
      <c r="A10" s="493">
        <v>1</v>
      </c>
      <c r="B10" s="499" t="s">
        <v>20</v>
      </c>
      <c r="C10" s="497" t="str">
        <f>VLOOKUP($B10,DATA!$B$14:$AU$589,6,0)</f>
        <v>Quảng Ninh</v>
      </c>
      <c r="D10" s="497" t="str">
        <f>VLOOKUP($B10,DATA!$B$14:$AU$589,36,0)</f>
        <v>Võ Ninh</v>
      </c>
      <c r="E10" s="497">
        <f>VLOOKUP($B10,DATA!$B$14:$AU$589,7,0)</f>
        <v>2017</v>
      </c>
      <c r="F10" s="497">
        <f>VLOOKUP($B10,DATA!$B$14:$AU$589,9,0)</f>
        <v>2019</v>
      </c>
      <c r="G10" s="497" t="str">
        <f>VLOOKUP($B10,DATA!$B$14:$AU$589,12,0)</f>
        <v>528/QĐ-UBND, ngày 15/3/2011; 2017/QĐ-UBND ngày 21/8/2013; 2124/QĐ-UBND ngày 05/9/2013</v>
      </c>
      <c r="H10" s="483">
        <f>VLOOKUP($B10,DATA!$B$14:$AU$589,13,0)</f>
        <v>6612</v>
      </c>
      <c r="I10" s="483">
        <f>VLOOKUP($B10,DATA!$B$14:$AU$589,15,0)</f>
        <v>6612</v>
      </c>
      <c r="J10" s="483">
        <f>VLOOKUP($B10,DATA!$B$14:$AU$589,26,0)</f>
        <v>3801</v>
      </c>
      <c r="K10" s="483">
        <f>VLOOKUP($B10,DATA!$B$14:$AU$589,28,0)</f>
        <v>3801</v>
      </c>
      <c r="L10" s="483">
        <f>VLOOKUP($B10,DATA!$B$14:$AU$589,29,0)</f>
        <v>5951</v>
      </c>
      <c r="M10" s="483">
        <f>VLOOKUP($B10,DATA!$B$14:$AU$589,30,0)</f>
        <v>2150</v>
      </c>
      <c r="N10" s="483">
        <f t="shared" ref="N10:N15" si="2">M10*O10/100</f>
        <v>2150</v>
      </c>
      <c r="O10" s="497">
        <v>100</v>
      </c>
      <c r="P10" s="497"/>
      <c r="Q10" s="497">
        <f>VLOOKUP($B10,DATA!$B$14:$AU$589,33,0)</f>
        <v>0</v>
      </c>
    </row>
    <row r="11" spans="1:17" ht="33" customHeight="1">
      <c r="A11" s="493">
        <v>3</v>
      </c>
      <c r="B11" s="501" t="s">
        <v>1071</v>
      </c>
      <c r="C11" s="497" t="str">
        <f>VLOOKUP($B11,DATA!$B$14:$AU$589,6,0)</f>
        <v>Đồng Hới</v>
      </c>
      <c r="D11" s="497" t="str">
        <f>VLOOKUP($B11,DATA!$B$14:$AU$589,36,0)</f>
        <v>Nam Lý</v>
      </c>
      <c r="E11" s="497">
        <f>VLOOKUP($B11,DATA!$B$14:$AU$589,7,0)</f>
        <v>2018</v>
      </c>
      <c r="F11" s="497">
        <f>VLOOKUP($B11,DATA!$B$14:$AU$589,9,0)</f>
        <v>2020</v>
      </c>
      <c r="G11" s="497" t="str">
        <f>VLOOKUP($B11,DATA!$B$14:$AU$589,12,0)</f>
        <v>3867/QĐ-UBND ngày 30/10/2017</v>
      </c>
      <c r="H11" s="483">
        <f>VLOOKUP($B11,DATA!$B$14:$AU$589,13,0)</f>
        <v>4200</v>
      </c>
      <c r="I11" s="483">
        <f>VLOOKUP($B11,DATA!$B$14:$AU$589,15,0)</f>
        <v>4200</v>
      </c>
      <c r="J11" s="483">
        <f>VLOOKUP($B11,DATA!$B$14:$AU$589,26,0)</f>
        <v>1162</v>
      </c>
      <c r="K11" s="483">
        <f>VLOOKUP($B11,DATA!$B$14:$AU$589,28,0)</f>
        <v>1162</v>
      </c>
      <c r="L11" s="483">
        <f>VLOOKUP($B11,DATA!$B$14:$AU$589,29,0)</f>
        <v>3780</v>
      </c>
      <c r="M11" s="483">
        <f>VLOOKUP($B11,DATA!$B$14:$AU$589,30,0)</f>
        <v>2618</v>
      </c>
      <c r="N11" s="483">
        <f t="shared" si="2"/>
        <v>1309</v>
      </c>
      <c r="O11" s="497">
        <v>50</v>
      </c>
      <c r="P11" s="497"/>
      <c r="Q11" s="497" t="str">
        <f>VLOOKUP($B11,DATA!$B$14:$AU$589,33,0)</f>
        <v>Bổ sung số QĐ, cập nhật số KH 2018-2020 (trừ CBĐT)</v>
      </c>
    </row>
    <row r="12" spans="1:17" ht="33" customHeight="1">
      <c r="A12" s="493">
        <v>4</v>
      </c>
      <c r="B12" s="502" t="s">
        <v>540</v>
      </c>
      <c r="C12" s="497" t="str">
        <f>VLOOKUP($B12,DATA!$B$14:$AU$589,6,0)</f>
        <v>Lệ Thủy</v>
      </c>
      <c r="D12" s="497" t="str">
        <f>VLOOKUP($B12,DATA!$B$14:$AU$589,36,0)</f>
        <v>Kiến Giang</v>
      </c>
      <c r="E12" s="497">
        <f>VLOOKUP($B12,DATA!$B$14:$AU$589,7,0)</f>
        <v>2018</v>
      </c>
      <c r="F12" s="497">
        <f>VLOOKUP($B12,DATA!$B$14:$AU$589,9,0)</f>
        <v>2020</v>
      </c>
      <c r="G12" s="497" t="str">
        <f>VLOOKUP($B12,DATA!$B$14:$AU$589,12,0)</f>
        <v>3605/QĐ-UBND ngày 12/10/2017</v>
      </c>
      <c r="H12" s="483">
        <f>VLOOKUP($B12,DATA!$B$14:$AU$589,13,0)</f>
        <v>5000</v>
      </c>
      <c r="I12" s="483">
        <f>VLOOKUP($B12,DATA!$B$14:$AU$589,15,0)</f>
        <v>5000</v>
      </c>
      <c r="J12" s="483">
        <f>VLOOKUP($B12,DATA!$B$14:$AU$589,26,0)</f>
        <v>1392</v>
      </c>
      <c r="K12" s="483">
        <f>VLOOKUP($B12,DATA!$B$14:$AU$589,28,0)</f>
        <v>1392</v>
      </c>
      <c r="L12" s="483">
        <f>VLOOKUP($B12,DATA!$B$14:$AU$589,29,0)</f>
        <v>4500</v>
      </c>
      <c r="M12" s="483">
        <f>VLOOKUP($B12,DATA!$B$14:$AU$589,30,0)</f>
        <v>3108</v>
      </c>
      <c r="N12" s="483">
        <f t="shared" si="2"/>
        <v>1554</v>
      </c>
      <c r="O12" s="497">
        <v>50</v>
      </c>
      <c r="P12" s="497"/>
      <c r="Q12" s="497">
        <f>VLOOKUP($B12,DATA!$B$14:$AU$589,33,0)</f>
        <v>0</v>
      </c>
    </row>
    <row r="13" spans="1:17" s="31" customFormat="1" ht="33" customHeight="1">
      <c r="A13" s="493">
        <v>5</v>
      </c>
      <c r="B13" s="500" t="s">
        <v>1069</v>
      </c>
      <c r="C13" s="497" t="str">
        <f>VLOOKUP($B13,DATA!$B$14:$AU$589,6,0)</f>
        <v>Bố Trạch</v>
      </c>
      <c r="D13" s="497" t="str">
        <f>VLOOKUP($B13,DATA!$B$14:$AU$589,36,0)</f>
        <v>Hoàn Lão</v>
      </c>
      <c r="E13" s="497">
        <f>VLOOKUP($B13,DATA!$B$14:$AU$589,7,0)</f>
        <v>2018</v>
      </c>
      <c r="F13" s="497">
        <f>VLOOKUP($B13,DATA!$B$14:$AU$589,9,0)</f>
        <v>2020</v>
      </c>
      <c r="G13" s="497" t="str">
        <f>VLOOKUP($B13,DATA!$B$14:$AU$589,12,0)</f>
        <v>3949/QĐ-UBND ngày 31/10/2017</v>
      </c>
      <c r="H13" s="483">
        <f>VLOOKUP($B13,DATA!$B$14:$AU$589,13,0)</f>
        <v>5500</v>
      </c>
      <c r="I13" s="483">
        <f>VLOOKUP($B13,DATA!$B$14:$AU$589,15,0)</f>
        <v>5500</v>
      </c>
      <c r="J13" s="483">
        <f>VLOOKUP($B13,DATA!$B$14:$AU$589,26,0)</f>
        <v>1527</v>
      </c>
      <c r="K13" s="483">
        <f>VLOOKUP($B13,DATA!$B$14:$AU$589,28,0)</f>
        <v>1527</v>
      </c>
      <c r="L13" s="483">
        <f>VLOOKUP($B13,DATA!$B$14:$AU$589,29,0)</f>
        <v>4950</v>
      </c>
      <c r="M13" s="483">
        <f>VLOOKUP($B13,DATA!$B$14:$AU$589,30,0)</f>
        <v>3423</v>
      </c>
      <c r="N13" s="483">
        <f t="shared" si="2"/>
        <v>1711.5</v>
      </c>
      <c r="O13" s="497">
        <v>50</v>
      </c>
      <c r="P13" s="497"/>
      <c r="Q13" s="497" t="str">
        <f>VLOOKUP($B13,DATA!$B$14:$AU$589,33,0)</f>
        <v>Bổ sung số QĐ, cập nhật số KH 2018-2020 (trừ CBĐT)</v>
      </c>
    </row>
    <row r="14" spans="1:17" ht="33" customHeight="1">
      <c r="A14" s="493">
        <v>6</v>
      </c>
      <c r="B14" s="511" t="s">
        <v>1066</v>
      </c>
      <c r="C14" s="497" t="str">
        <f>VLOOKUP($B14,DATA!$B$14:$AU$589,6,0)</f>
        <v>Ba Đồn</v>
      </c>
      <c r="D14" s="497" t="str">
        <f>VLOOKUP($B14,DATA!$B$14:$AU$589,36,0)</f>
        <v>Quảng Thọ</v>
      </c>
      <c r="E14" s="497">
        <f>VLOOKUP($B14,DATA!$B$14:$AU$589,7,0)</f>
        <v>2018</v>
      </c>
      <c r="F14" s="497">
        <f>VLOOKUP($B14,DATA!$B$14:$AU$589,9,0)</f>
        <v>2020</v>
      </c>
      <c r="G14" s="497" t="str">
        <f>VLOOKUP($B14,DATA!$B$14:$AU$589,12,0)</f>
        <v>3445/QĐ-UBND ngày 28/10/52016</v>
      </c>
      <c r="H14" s="483">
        <f>VLOOKUP($B14,DATA!$B$14:$AU$589,13,0)</f>
        <v>18029</v>
      </c>
      <c r="I14" s="483">
        <f>VLOOKUP($B14,DATA!$B$14:$AU$589,15,0)</f>
        <v>11000</v>
      </c>
      <c r="J14" s="483">
        <f>VLOOKUP($B14,DATA!$B$14:$AU$589,26,0)</f>
        <v>3000</v>
      </c>
      <c r="K14" s="483">
        <f>VLOOKUP($B14,DATA!$B$14:$AU$589,28,0)</f>
        <v>3000</v>
      </c>
      <c r="L14" s="483">
        <f>VLOOKUP($B14,DATA!$B$14:$AU$589,29,0)</f>
        <v>10000</v>
      </c>
      <c r="M14" s="483">
        <f>VLOOKUP($B14,DATA!$B$14:$AU$589,30,0)</f>
        <v>7000</v>
      </c>
      <c r="N14" s="483">
        <f t="shared" si="2"/>
        <v>3500</v>
      </c>
      <c r="O14" s="497">
        <v>50</v>
      </c>
      <c r="P14" s="497"/>
      <c r="Q14" s="497" t="str">
        <f>VLOOKUP($B14,DATA!$B$14:$AU$589,33,0)</f>
        <v>Bổ sung số QĐ, cập nhật số KH 2018-2020 (trừ CBĐT)</v>
      </c>
    </row>
    <row r="15" spans="1:17" ht="33" customHeight="1">
      <c r="A15" s="493">
        <v>10</v>
      </c>
      <c r="B15" s="491" t="s">
        <v>1268</v>
      </c>
      <c r="C15" s="497" t="str">
        <f>VLOOKUP($B15,DATA!$B$14:$AU$589,6,0)</f>
        <v>Quảng Trạch</v>
      </c>
      <c r="D15" s="497" t="str">
        <f>VLOOKUP($B15,DATA!$B$14:$AU$589,36,0)</f>
        <v>Quảng Châu</v>
      </c>
      <c r="E15" s="497">
        <f>VLOOKUP($B15,DATA!$B$14:$AU$589,7,0)</f>
        <v>2019</v>
      </c>
      <c r="F15" s="497">
        <f>VLOOKUP($B15,DATA!$B$14:$AU$589,9,0)</f>
        <v>2021</v>
      </c>
      <c r="G15" s="497" t="str">
        <f>VLOOKUP($B15,DATA!$B$14:$AU$589,12,0)</f>
        <v>3803/QĐ-UBND ngày 31/10/2018</v>
      </c>
      <c r="H15" s="483">
        <f>VLOOKUP($B15,DATA!$B$14:$AU$589,13,0)</f>
        <v>3000</v>
      </c>
      <c r="I15" s="483">
        <f>VLOOKUP($B15,DATA!$B$14:$AU$589,15,0)</f>
        <v>1800</v>
      </c>
      <c r="J15" s="483">
        <f>VLOOKUP($B15,DATA!$B$14:$AU$589,26,0)</f>
        <v>0</v>
      </c>
      <c r="K15" s="483">
        <f>VLOOKUP($B15,DATA!$B$14:$AU$589,28,0)</f>
        <v>0</v>
      </c>
      <c r="L15" s="483">
        <f>VLOOKUP($B15,DATA!$B$14:$AU$589,29,0)</f>
        <v>1800</v>
      </c>
      <c r="M15" s="483">
        <f>VLOOKUP($B15,DATA!$B$14:$AU$589,30,0)</f>
        <v>1800</v>
      </c>
      <c r="N15" s="483">
        <f t="shared" si="2"/>
        <v>900</v>
      </c>
      <c r="O15" s="497">
        <v>50</v>
      </c>
      <c r="P15" s="497"/>
      <c r="Q15" s="497">
        <f>VLOOKUP($B15,DATA!$B$14:$AU$589,33,0)</f>
        <v>0</v>
      </c>
    </row>
    <row r="16" spans="1:17" ht="33" customHeight="1">
      <c r="A16" s="732" t="s">
        <v>472</v>
      </c>
      <c r="B16" s="733" t="s">
        <v>1626</v>
      </c>
      <c r="C16" s="732"/>
      <c r="D16" s="732"/>
      <c r="E16" s="732"/>
      <c r="F16" s="732"/>
      <c r="G16" s="732"/>
      <c r="H16" s="729">
        <f t="shared" ref="H16:M16" si="3">SUBTOTAL(109,H17:H22)</f>
        <v>40882</v>
      </c>
      <c r="I16" s="729">
        <f t="shared" si="3"/>
        <v>34900</v>
      </c>
      <c r="J16" s="729">
        <f t="shared" si="3"/>
        <v>0</v>
      </c>
      <c r="K16" s="729">
        <f t="shared" si="3"/>
        <v>0</v>
      </c>
      <c r="L16" s="729">
        <f t="shared" si="3"/>
        <v>25860</v>
      </c>
      <c r="M16" s="729">
        <f t="shared" si="3"/>
        <v>25860</v>
      </c>
      <c r="N16" s="729">
        <f>SUBTOTAL(109,N17:N22)</f>
        <v>12930</v>
      </c>
      <c r="O16" s="729"/>
      <c r="P16" s="729"/>
      <c r="Q16" s="729"/>
    </row>
    <row r="17" spans="1:17" ht="33" customHeight="1">
      <c r="A17" s="493">
        <v>1</v>
      </c>
      <c r="B17" s="690" t="s">
        <v>1258</v>
      </c>
      <c r="C17" s="497" t="str">
        <f>VLOOKUP($B17,DATA!$B$14:$AU$589,6,0)</f>
        <v>Ba Đồn</v>
      </c>
      <c r="D17" s="497" t="str">
        <f>VLOOKUP($B17,DATA!$B$14:$AU$589,36,0)</f>
        <v>Quảng Phúc</v>
      </c>
      <c r="E17" s="497">
        <f>VLOOKUP($B17,DATA!$B$14:$AU$589,7,0)</f>
        <v>2018</v>
      </c>
      <c r="F17" s="497">
        <f>VLOOKUP($B17,DATA!$B$14:$AU$589,9,0)</f>
        <v>2020</v>
      </c>
      <c r="G17" s="497" t="str">
        <f>VLOOKUP($B17,DATA!$B$14:$AU$589,12,0)</f>
        <v>3970a/QĐ-UBND ngày 31/10/2017</v>
      </c>
      <c r="H17" s="483">
        <f>VLOOKUP($B17,DATA!$B$14:$AU$589,13,0)</f>
        <v>3982</v>
      </c>
      <c r="I17" s="483">
        <f>VLOOKUP($B17,DATA!$B$14:$AU$589,15,0)</f>
        <v>3000</v>
      </c>
      <c r="J17" s="483">
        <f>VLOOKUP($B17,DATA!$B$14:$AU$589,26,0)</f>
        <v>0</v>
      </c>
      <c r="K17" s="483">
        <f>VLOOKUP($B17,DATA!$B$14:$AU$589,28,0)</f>
        <v>0</v>
      </c>
      <c r="L17" s="483">
        <f>VLOOKUP($B17,DATA!$B$14:$AU$589,29,0)</f>
        <v>3000</v>
      </c>
      <c r="M17" s="483">
        <f>VLOOKUP($B17,DATA!$B$14:$AU$589,30,0)</f>
        <v>3000</v>
      </c>
      <c r="N17" s="483">
        <f t="shared" ref="N17:N22" si="4">M17*O17/100</f>
        <v>1500</v>
      </c>
      <c r="O17" s="497">
        <v>50</v>
      </c>
      <c r="P17" s="497" t="s">
        <v>1654</v>
      </c>
      <c r="Q17" s="497" t="str">
        <f>VLOOKUP($B17,DATA!$B$14:$AU$589,33,0)</f>
        <v>Năm 2018 đã bố trí ngân sách phường, điều chỉnh tăng trung hạn từ 500 lên 3 tỷ</v>
      </c>
    </row>
    <row r="18" spans="1:17" ht="33" customHeight="1">
      <c r="A18" s="493">
        <v>2</v>
      </c>
      <c r="B18" s="491" t="s">
        <v>1254</v>
      </c>
      <c r="C18" s="497" t="str">
        <f>VLOOKUP($B18,DATA!$B$14:$AU$589,6,0)</f>
        <v>Quảng Trạch</v>
      </c>
      <c r="D18" s="497" t="str">
        <f>VLOOKUP($B18,DATA!$B$14:$AU$589,36,0)</f>
        <v>Quảng Hưng</v>
      </c>
      <c r="E18" s="497">
        <f>VLOOKUP($B18,DATA!$B$14:$AU$589,7,0)</f>
        <v>2018</v>
      </c>
      <c r="F18" s="497">
        <f>VLOOKUP($B18,DATA!$B$14:$AU$589,9,0)</f>
        <v>2020</v>
      </c>
      <c r="G18" s="497" t="str">
        <f>VLOOKUP($B18,DATA!$B$14:$AU$589,12,0)</f>
        <v>2151/QĐ-UBND ngày 02/7/2018</v>
      </c>
      <c r="H18" s="483">
        <f>VLOOKUP($B18,DATA!$B$14:$AU$589,13,0)</f>
        <v>14800</v>
      </c>
      <c r="I18" s="483">
        <f>VLOOKUP($B18,DATA!$B$14:$AU$589,15,0)</f>
        <v>9800</v>
      </c>
      <c r="J18" s="483">
        <f>VLOOKUP($B18,DATA!$B$14:$AU$589,26,0)</f>
        <v>0</v>
      </c>
      <c r="K18" s="483">
        <f>VLOOKUP($B18,DATA!$B$14:$AU$589,28,0)</f>
        <v>0</v>
      </c>
      <c r="L18" s="483">
        <f>VLOOKUP($B18,DATA!$B$14:$AU$589,29,0)</f>
        <v>9600</v>
      </c>
      <c r="M18" s="483">
        <f>VLOOKUP($B18,DATA!$B$14:$AU$589,30,0)</f>
        <v>9600</v>
      </c>
      <c r="N18" s="483">
        <f t="shared" si="4"/>
        <v>4800</v>
      </c>
      <c r="O18" s="497">
        <v>50</v>
      </c>
      <c r="P18" s="497" t="s">
        <v>1654</v>
      </c>
      <c r="Q18" s="497" t="str">
        <f>VLOOKUP($B18,DATA!$B$14:$AU$589,33,0)</f>
        <v>TT. HĐND tỉnh đã đồng ý bổ sung trung hạn và bố trí từ năm 2019 (VB số 136/HĐND-VP ngày 25/10/2018) Năm 2018 đã bố trí vốn sự nghiệp y tế để thực hiện</v>
      </c>
    </row>
    <row r="19" spans="1:17" s="700" customFormat="1" ht="33" customHeight="1">
      <c r="A19" s="735">
        <v>3</v>
      </c>
      <c r="B19" s="710" t="s">
        <v>1270</v>
      </c>
      <c r="C19" s="708" t="str">
        <f>VLOOKUP($B19,DATA!$B$14:$AU$589,6,0)</f>
        <v>Ba Đồn</v>
      </c>
      <c r="D19" s="708" t="str">
        <f>VLOOKUP($B19,DATA!$B$14:$AU$589,36,0)</f>
        <v>Quảng Long</v>
      </c>
      <c r="E19" s="708">
        <f>VLOOKUP($B19,DATA!$B$14:$AU$589,7,0)</f>
        <v>2019</v>
      </c>
      <c r="F19" s="708">
        <f>VLOOKUP($B19,DATA!$B$14:$AU$589,9,0)</f>
        <v>2021</v>
      </c>
      <c r="G19" s="708" t="str">
        <f>VLOOKUP($B19,DATA!$B$14:$AU$589,12,0)</f>
        <v>3776/QĐ-UBND ngày 31/10/2018</v>
      </c>
      <c r="H19" s="709">
        <f>VLOOKUP($B19,DATA!$B$14:$AU$589,13,0)</f>
        <v>3000</v>
      </c>
      <c r="I19" s="709">
        <f>VLOOKUP($B19,DATA!$B$14:$AU$589,15,0)</f>
        <v>3000</v>
      </c>
      <c r="J19" s="709">
        <f>VLOOKUP($B19,DATA!$B$14:$AU$589,26,0)</f>
        <v>0</v>
      </c>
      <c r="K19" s="709">
        <f>VLOOKUP($B19,DATA!$B$14:$AU$589,28,0)</f>
        <v>0</v>
      </c>
      <c r="L19" s="709">
        <f>VLOOKUP($B19,DATA!$B$14:$AU$589,29,0)</f>
        <v>1800</v>
      </c>
      <c r="M19" s="709">
        <f>VLOOKUP($B19,DATA!$B$14:$AU$589,30,0)</f>
        <v>1800</v>
      </c>
      <c r="N19" s="709">
        <f t="shared" si="4"/>
        <v>900</v>
      </c>
      <c r="O19" s="708">
        <v>50</v>
      </c>
      <c r="P19" s="708" t="s">
        <v>2104</v>
      </c>
      <c r="Q19" s="708">
        <f>VLOOKUP($B19,DATA!$B$14:$AU$589,33,0)</f>
        <v>0</v>
      </c>
    </row>
    <row r="20" spans="1:17" s="700" customFormat="1" ht="33" customHeight="1">
      <c r="A20" s="735">
        <v>4</v>
      </c>
      <c r="B20" s="710" t="s">
        <v>1266</v>
      </c>
      <c r="C20" s="708" t="str">
        <f>VLOOKUP($B20,DATA!$B$14:$AU$589,6,0)</f>
        <v>Tuyên Hóa</v>
      </c>
      <c r="D20" s="708" t="str">
        <f>VLOOKUP($B20,DATA!$B$14:$AU$589,36,0)</f>
        <v>Đồng Lê</v>
      </c>
      <c r="E20" s="708">
        <f>VLOOKUP($B20,DATA!$B$14:$AU$589,7,0)</f>
        <v>2019</v>
      </c>
      <c r="F20" s="708">
        <f>VLOOKUP($B20,DATA!$B$14:$AU$589,9,0)</f>
        <v>2021</v>
      </c>
      <c r="G20" s="708" t="str">
        <f>VLOOKUP($B20,DATA!$B$14:$AU$589,12,0)</f>
        <v>3858/QĐ-UBND ngày 31/10/2018</v>
      </c>
      <c r="H20" s="709">
        <f>VLOOKUP($B20,DATA!$B$14:$AU$589,13,0)</f>
        <v>5000</v>
      </c>
      <c r="I20" s="709">
        <f>VLOOKUP($B20,DATA!$B$14:$AU$589,15,0)</f>
        <v>5000</v>
      </c>
      <c r="J20" s="709">
        <f>VLOOKUP($B20,DATA!$B$14:$AU$589,26,0)</f>
        <v>0</v>
      </c>
      <c r="K20" s="709">
        <f>VLOOKUP($B20,DATA!$B$14:$AU$589,28,0)</f>
        <v>0</v>
      </c>
      <c r="L20" s="709">
        <f>VLOOKUP($B20,DATA!$B$14:$AU$589,29,0)</f>
        <v>3000</v>
      </c>
      <c r="M20" s="709">
        <f>VLOOKUP($B20,DATA!$B$14:$AU$589,30,0)</f>
        <v>3000</v>
      </c>
      <c r="N20" s="709">
        <f t="shared" si="4"/>
        <v>1500</v>
      </c>
      <c r="O20" s="708">
        <v>50</v>
      </c>
      <c r="P20" s="708" t="s">
        <v>2104</v>
      </c>
      <c r="Q20" s="708">
        <f>VLOOKUP($B20,DATA!$B$14:$AU$589,33,0)</f>
        <v>0</v>
      </c>
    </row>
    <row r="21" spans="1:17" s="700" customFormat="1" ht="33" customHeight="1">
      <c r="A21" s="735">
        <v>5</v>
      </c>
      <c r="B21" s="710" t="s">
        <v>1279</v>
      </c>
      <c r="C21" s="708" t="str">
        <f>VLOOKUP($B21,DATA!$B$14:$AU$589,6,0)</f>
        <v>Minh Hóa</v>
      </c>
      <c r="D21" s="708" t="str">
        <f>VLOOKUP($B21,DATA!$B$14:$AU$589,36,0)</f>
        <v>Quy Đạt</v>
      </c>
      <c r="E21" s="708">
        <f>VLOOKUP($B21,DATA!$B$14:$AU$589,7,0)</f>
        <v>2019</v>
      </c>
      <c r="F21" s="708">
        <f>VLOOKUP($B21,DATA!$B$14:$AU$589,9,0)</f>
        <v>2021</v>
      </c>
      <c r="G21" s="708" t="str">
        <f>VLOOKUP($B21,DATA!$B$14:$AU$589,12,0)</f>
        <v>3890/QĐ-UBND ngày 31/10/2018</v>
      </c>
      <c r="H21" s="709">
        <f>VLOOKUP($B21,DATA!$B$14:$AU$589,13,0)</f>
        <v>5500</v>
      </c>
      <c r="I21" s="709">
        <f>VLOOKUP($B21,DATA!$B$14:$AU$589,15,0)</f>
        <v>5500</v>
      </c>
      <c r="J21" s="709">
        <f>VLOOKUP($B21,DATA!$B$14:$AU$589,26,0)</f>
        <v>0</v>
      </c>
      <c r="K21" s="709">
        <f>VLOOKUP($B21,DATA!$B$14:$AU$589,28,0)</f>
        <v>0</v>
      </c>
      <c r="L21" s="709">
        <f>VLOOKUP($B21,DATA!$B$14:$AU$589,29,0)</f>
        <v>3300</v>
      </c>
      <c r="M21" s="709">
        <f>VLOOKUP($B21,DATA!$B$14:$AU$589,30,0)</f>
        <v>3300</v>
      </c>
      <c r="N21" s="709">
        <f t="shared" si="4"/>
        <v>1650</v>
      </c>
      <c r="O21" s="708">
        <v>50</v>
      </c>
      <c r="P21" s="708" t="s">
        <v>2104</v>
      </c>
      <c r="Q21" s="708">
        <f>VLOOKUP($B21,DATA!$B$14:$AU$589,33,0)</f>
        <v>0</v>
      </c>
    </row>
    <row r="22" spans="1:17" ht="33" customHeight="1">
      <c r="A22" s="493">
        <v>6</v>
      </c>
      <c r="B22" s="491" t="s">
        <v>1277</v>
      </c>
      <c r="C22" s="497" t="str">
        <f>VLOOKUP($B22,DATA!$B$14:$AU$589,6,0)</f>
        <v>Đồng Hới</v>
      </c>
      <c r="D22" s="497" t="str">
        <f>VLOOKUP($B22,DATA!$B$14:$AU$589,36,0)</f>
        <v>Đức Ninh</v>
      </c>
      <c r="E22" s="497">
        <f>VLOOKUP($B22,DATA!$B$14:$AU$589,7,0)</f>
        <v>2019</v>
      </c>
      <c r="F22" s="497">
        <f>VLOOKUP($B22,DATA!$B$14:$AU$589,9,0)</f>
        <v>2021</v>
      </c>
      <c r="G22" s="497" t="str">
        <f>VLOOKUP($B22,DATA!$B$14:$AU$589,12,0)</f>
        <v>3802/QĐ-UBND ngày 31/10/2018</v>
      </c>
      <c r="H22" s="483">
        <f>VLOOKUP($B22,DATA!$B$14:$AU$589,13,0)</f>
        <v>8600</v>
      </c>
      <c r="I22" s="483">
        <f>VLOOKUP($B22,DATA!$B$14:$AU$589,15,0)</f>
        <v>8600</v>
      </c>
      <c r="J22" s="483">
        <f>VLOOKUP($B22,DATA!$B$14:$AU$589,26,0)</f>
        <v>0</v>
      </c>
      <c r="K22" s="483">
        <f>VLOOKUP($B22,DATA!$B$14:$AU$589,28,0)</f>
        <v>0</v>
      </c>
      <c r="L22" s="483">
        <f>VLOOKUP($B22,DATA!$B$14:$AU$589,29,0)</f>
        <v>5160</v>
      </c>
      <c r="M22" s="483">
        <f>VLOOKUP($B22,DATA!$B$14:$AU$589,30,0)</f>
        <v>5160</v>
      </c>
      <c r="N22" s="483">
        <f t="shared" si="4"/>
        <v>2580</v>
      </c>
      <c r="O22" s="497">
        <v>50</v>
      </c>
      <c r="P22" s="497" t="s">
        <v>1797</v>
      </c>
      <c r="Q22" s="497" t="str">
        <f>VLOOKUP($B22,DATA!$B$14:$AU$589,33,0)</f>
        <v>Đ/c tăng tổng mức đầu tư từ 5,5 tỷ đồng lên 8,6 tỷ theo QĐ chủ trương đầu tư. Bố trí vốn từ năm 2019
KHV trung hạn 500 &gt;&gt; 5160</v>
      </c>
    </row>
    <row r="23" spans="1:17" ht="33" customHeight="1">
      <c r="A23" s="732" t="s">
        <v>477</v>
      </c>
      <c r="B23" s="733" t="s">
        <v>1627</v>
      </c>
      <c r="C23" s="732"/>
      <c r="D23" s="732"/>
      <c r="E23" s="732"/>
      <c r="F23" s="732"/>
      <c r="G23" s="732"/>
      <c r="H23" s="729">
        <f t="shared" ref="H23:M23" si="5">SUBTOTAL(109,H24:H27)</f>
        <v>14500</v>
      </c>
      <c r="I23" s="729">
        <f t="shared" si="5"/>
        <v>10100</v>
      </c>
      <c r="J23" s="729">
        <f t="shared" si="5"/>
        <v>0</v>
      </c>
      <c r="K23" s="729">
        <f t="shared" si="5"/>
        <v>0</v>
      </c>
      <c r="L23" s="729">
        <f t="shared" si="5"/>
        <v>7020</v>
      </c>
      <c r="M23" s="729">
        <f t="shared" si="5"/>
        <v>7020</v>
      </c>
      <c r="N23" s="729">
        <f>SUBTOTAL(109,N24:N27)</f>
        <v>3510</v>
      </c>
      <c r="O23" s="729"/>
      <c r="P23" s="729"/>
      <c r="Q23" s="729"/>
    </row>
    <row r="24" spans="1:17" ht="33" customHeight="1">
      <c r="A24" s="493">
        <v>1</v>
      </c>
      <c r="B24" s="491" t="s">
        <v>1263</v>
      </c>
      <c r="C24" s="497" t="str">
        <f>VLOOKUP($B24,DATA!$B$14:$AU$589,6,0)</f>
        <v>Ba Đồn</v>
      </c>
      <c r="D24" s="497" t="str">
        <f>VLOOKUP($B24,DATA!$B$14:$AU$589,36,0)</f>
        <v>Quảng Lộc</v>
      </c>
      <c r="E24" s="497">
        <f>VLOOKUP($B24,DATA!$B$14:$AU$589,7,0)</f>
        <v>2018</v>
      </c>
      <c r="F24" s="497">
        <f>VLOOKUP($B24,DATA!$B$14:$AU$589,9,0)</f>
        <v>2020</v>
      </c>
      <c r="G24" s="497" t="str">
        <f>VLOOKUP($B24,DATA!$B$14:$AU$589,12,0)</f>
        <v>3865/QĐ-UBND ngày 30/10/2017</v>
      </c>
      <c r="H24" s="483">
        <f>VLOOKUP($B24,DATA!$B$14:$AU$589,13,0)</f>
        <v>4000</v>
      </c>
      <c r="I24" s="483">
        <f>VLOOKUP($B24,DATA!$B$14:$AU$589,15,0)</f>
        <v>2400</v>
      </c>
      <c r="J24" s="483">
        <f>VLOOKUP($B24,DATA!$B$14:$AU$589,26,0)</f>
        <v>0</v>
      </c>
      <c r="K24" s="483">
        <f>VLOOKUP($B24,DATA!$B$14:$AU$589,28,0)</f>
        <v>0</v>
      </c>
      <c r="L24" s="483">
        <f>VLOOKUP($B24,DATA!$B$14:$AU$589,29,0)</f>
        <v>2400</v>
      </c>
      <c r="M24" s="483">
        <f>VLOOKUP($B24,DATA!$B$14:$AU$589,30,0)</f>
        <v>2400</v>
      </c>
      <c r="N24" s="483">
        <f>M24*O24/100</f>
        <v>1200</v>
      </c>
      <c r="O24" s="497">
        <v>50</v>
      </c>
      <c r="P24" s="497" t="s">
        <v>1654</v>
      </c>
      <c r="Q24" s="497" t="str">
        <f>VLOOKUP($B24,DATA!$B$14:$AU$589,33,0)</f>
        <v>Bố trí NS xã 2018</v>
      </c>
    </row>
    <row r="25" spans="1:17" ht="33" customHeight="1">
      <c r="A25" s="493">
        <v>2</v>
      </c>
      <c r="B25" s="536" t="s">
        <v>1284</v>
      </c>
      <c r="C25" s="497" t="str">
        <f>VLOOKUP($B25,DATA!$B$14:$AU$589,6,0)</f>
        <v>Quảng Trạch</v>
      </c>
      <c r="D25" s="497" t="str">
        <f>VLOOKUP($B25,DATA!$B$14:$AU$589,36,0)</f>
        <v>Quảng Kim</v>
      </c>
      <c r="E25" s="497">
        <f>VLOOKUP($B25,DATA!$B$14:$AU$589,7,0)</f>
        <v>2019</v>
      </c>
      <c r="F25" s="497">
        <f>VLOOKUP($B25,DATA!$B$14:$AU$589,9,0)</f>
        <v>2021</v>
      </c>
      <c r="G25" s="497" t="str">
        <f>VLOOKUP($B25,DATA!$B$14:$AU$589,12,0)</f>
        <v>3885/QĐ-UBND ngày 31/10/2018</v>
      </c>
      <c r="H25" s="483">
        <f>VLOOKUP($B25,DATA!$B$14:$AU$589,13,0)</f>
        <v>3000</v>
      </c>
      <c r="I25" s="483">
        <f>VLOOKUP($B25,DATA!$B$14:$AU$589,15,0)</f>
        <v>1800</v>
      </c>
      <c r="J25" s="483">
        <f>VLOOKUP($B25,DATA!$B$14:$AU$589,26,0)</f>
        <v>0</v>
      </c>
      <c r="K25" s="483">
        <f>VLOOKUP($B25,DATA!$B$14:$AU$589,28,0)</f>
        <v>0</v>
      </c>
      <c r="L25" s="483">
        <f>VLOOKUP($B25,DATA!$B$14:$AU$589,29,0)</f>
        <v>1080</v>
      </c>
      <c r="M25" s="483">
        <f>VLOOKUP($B25,DATA!$B$14:$AU$589,30,0)</f>
        <v>1080</v>
      </c>
      <c r="N25" s="483">
        <f>M25*O25/100</f>
        <v>540</v>
      </c>
      <c r="O25" s="497">
        <v>50</v>
      </c>
      <c r="P25" s="497" t="s">
        <v>1654</v>
      </c>
      <c r="Q25" s="497"/>
    </row>
    <row r="26" spans="1:17" ht="33" customHeight="1">
      <c r="A26" s="493">
        <v>3</v>
      </c>
      <c r="B26" s="490" t="s">
        <v>1273</v>
      </c>
      <c r="C26" s="497" t="str">
        <f>VLOOKUP($B26,DATA!$B$14:$AU$589,6,0)</f>
        <v>Bố Trạch</v>
      </c>
      <c r="D26" s="497" t="str">
        <f>VLOOKUP($B26,DATA!$B$14:$AU$589,36,0)</f>
        <v>Đức Trạch</v>
      </c>
      <c r="E26" s="497">
        <f>VLOOKUP($B26,DATA!$B$14:$AU$589,7,0)</f>
        <v>2019</v>
      </c>
      <c r="F26" s="497">
        <f>VLOOKUP($B26,DATA!$B$14:$AU$589,9,0)</f>
        <v>2021</v>
      </c>
      <c r="G26" s="497" t="str">
        <f>VLOOKUP($B26,DATA!$B$14:$AU$589,12,0)</f>
        <v>3347/QĐ-UBND ngày 9/10/2018</v>
      </c>
      <c r="H26" s="483">
        <f>VLOOKUP($B26,DATA!$B$14:$AU$589,13,0)</f>
        <v>4000</v>
      </c>
      <c r="I26" s="483">
        <f>VLOOKUP($B26,DATA!$B$14:$AU$589,15,0)</f>
        <v>2400</v>
      </c>
      <c r="J26" s="483">
        <f>VLOOKUP($B26,DATA!$B$14:$AU$589,26,0)</f>
        <v>0</v>
      </c>
      <c r="K26" s="483">
        <f>VLOOKUP($B26,DATA!$B$14:$AU$589,28,0)</f>
        <v>0</v>
      </c>
      <c r="L26" s="483">
        <f>VLOOKUP($B26,DATA!$B$14:$AU$589,29,0)</f>
        <v>1440</v>
      </c>
      <c r="M26" s="483">
        <f>VLOOKUP($B26,DATA!$B$14:$AU$589,30,0)</f>
        <v>1440</v>
      </c>
      <c r="N26" s="483">
        <f>M26*O26/100</f>
        <v>720</v>
      </c>
      <c r="O26" s="497">
        <v>50</v>
      </c>
      <c r="P26" s="497" t="s">
        <v>1654</v>
      </c>
      <c r="Q26" s="497"/>
    </row>
    <row r="27" spans="1:17" ht="33" customHeight="1">
      <c r="A27" s="493">
        <v>4</v>
      </c>
      <c r="B27" s="491" t="s">
        <v>1281</v>
      </c>
      <c r="C27" s="497" t="str">
        <f>VLOOKUP($B27,DATA!$B$14:$AU$589,6,0)</f>
        <v>Lệ Thủy</v>
      </c>
      <c r="D27" s="497" t="str">
        <f>VLOOKUP($B27,DATA!$B$14:$AU$589,36,0)</f>
        <v>Kiến Giang</v>
      </c>
      <c r="E27" s="497">
        <f>VLOOKUP($B27,DATA!$B$14:$AU$589,7,0)</f>
        <v>2019</v>
      </c>
      <c r="F27" s="497">
        <f>VLOOKUP($B27,DATA!$B$14:$AU$589,9,0)</f>
        <v>2021</v>
      </c>
      <c r="G27" s="497" t="str">
        <f>VLOOKUP($B27,DATA!$B$14:$AU$589,12,0)</f>
        <v>3889a/QĐ-UBND ngày 31/10/2018</v>
      </c>
      <c r="H27" s="483">
        <f>VLOOKUP($B27,DATA!$B$14:$AU$589,13,0)</f>
        <v>3500</v>
      </c>
      <c r="I27" s="483">
        <f>VLOOKUP($B27,DATA!$B$14:$AU$589,15,0)</f>
        <v>3500</v>
      </c>
      <c r="J27" s="483">
        <f>VLOOKUP($B27,DATA!$B$14:$AU$589,26,0)</f>
        <v>0</v>
      </c>
      <c r="K27" s="483">
        <f>VLOOKUP($B27,DATA!$B$14:$AU$589,28,0)</f>
        <v>0</v>
      </c>
      <c r="L27" s="483">
        <f>VLOOKUP($B27,DATA!$B$14:$AU$589,29,0)</f>
        <v>2100</v>
      </c>
      <c r="M27" s="483">
        <f>VLOOKUP($B27,DATA!$B$14:$AU$589,30,0)</f>
        <v>2100</v>
      </c>
      <c r="N27" s="483">
        <f>M27*O27/100</f>
        <v>1050</v>
      </c>
      <c r="O27" s="497">
        <v>50</v>
      </c>
      <c r="P27" s="497" t="s">
        <v>1654</v>
      </c>
      <c r="Q27" s="497">
        <f>VLOOKUP($B27,DATA!$B$14:$AU$589,33,0)</f>
        <v>0</v>
      </c>
    </row>
  </sheetData>
  <sortState ref="A19:Q22">
    <sortCondition ref="N19:N22"/>
  </sortState>
  <mergeCells count="21">
    <mergeCell ref="E4:E7"/>
    <mergeCell ref="A4:A7"/>
    <mergeCell ref="B4:B7"/>
    <mergeCell ref="C4:C7"/>
    <mergeCell ref="K6:K7"/>
    <mergeCell ref="I6:I7"/>
    <mergeCell ref="D4:D7"/>
    <mergeCell ref="Q4:Q7"/>
    <mergeCell ref="F4:F7"/>
    <mergeCell ref="G4:I4"/>
    <mergeCell ref="G5:G7"/>
    <mergeCell ref="H5:I5"/>
    <mergeCell ref="H6:H7"/>
    <mergeCell ref="J6:J7"/>
    <mergeCell ref="J4:K5"/>
    <mergeCell ref="N4:N7"/>
    <mergeCell ref="O4:O7"/>
    <mergeCell ref="L4:M5"/>
    <mergeCell ref="L6:L7"/>
    <mergeCell ref="M6:M7"/>
    <mergeCell ref="P4:P7"/>
  </mergeCells>
  <printOptions horizontalCentered="1"/>
  <pageMargins left="0.7" right="0.7" top="0.75" bottom="0.75" header="0.3" footer="0.3"/>
  <pageSetup paperSize="9" scale="59" fitToHeight="0" orientation="landscape"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U12"/>
  <sheetViews>
    <sheetView zoomScale="70" zoomScaleNormal="70" zoomScalePageLayoutView="70" workbookViewId="0">
      <pane xSplit="1" ySplit="8" topLeftCell="B9" activePane="bottomRight" state="frozen"/>
      <selection pane="topRight" activeCell="B1" sqref="B1"/>
      <selection pane="bottomLeft" activeCell="A9" sqref="A9"/>
      <selection pane="bottomRight" activeCell="M8" sqref="M8"/>
    </sheetView>
  </sheetViews>
  <sheetFormatPr defaultColWidth="9" defaultRowHeight="15.75"/>
  <cols>
    <col min="1" max="1" width="5.625" style="49" customWidth="1"/>
    <col min="2" max="2" width="55.625" style="50" customWidth="1"/>
    <col min="3" max="3" width="12.625" style="50" customWidth="1"/>
    <col min="4" max="4" width="8.625" style="94" customWidth="1"/>
    <col min="5" max="5" width="8.625" style="95" customWidth="1"/>
    <col min="6" max="6" width="16.625" style="50" customWidth="1"/>
    <col min="7" max="7" width="11.5" style="49" customWidth="1"/>
    <col min="8" max="13" width="10.625" style="49" customWidth="1"/>
    <col min="14" max="14" width="5.625" style="49" customWidth="1"/>
    <col min="15" max="15" width="23.875" style="73" customWidth="1"/>
    <col min="16" max="16" width="23.875" style="73" hidden="1" customWidth="1"/>
    <col min="17" max="17" width="9" style="49"/>
    <col min="18" max="18" width="9" style="133" hidden="1" customWidth="1"/>
    <col min="19" max="16384" width="9" style="49"/>
  </cols>
  <sheetData>
    <row r="1" spans="1:21">
      <c r="A1" s="59" t="s">
        <v>678</v>
      </c>
      <c r="B1" s="59"/>
      <c r="C1" s="59"/>
      <c r="D1" s="83"/>
      <c r="E1" s="83"/>
      <c r="F1" s="59"/>
      <c r="G1" s="59"/>
      <c r="H1" s="59"/>
      <c r="I1" s="59"/>
      <c r="J1" s="59"/>
      <c r="K1" s="59"/>
      <c r="L1" s="59"/>
      <c r="M1" s="59"/>
      <c r="N1" s="59"/>
      <c r="O1" s="83"/>
      <c r="P1" s="83"/>
    </row>
    <row r="2" spans="1:21">
      <c r="A2" s="49" t="s">
        <v>1589</v>
      </c>
      <c r="C2" s="73"/>
      <c r="F2" s="73"/>
      <c r="M2" s="50"/>
      <c r="N2" s="74"/>
    </row>
    <row r="3" spans="1:21" s="87" customFormat="1">
      <c r="B3" s="88"/>
      <c r="C3" s="89"/>
      <c r="D3" s="96"/>
      <c r="E3" s="97"/>
      <c r="F3" s="89"/>
      <c r="M3" s="88"/>
      <c r="N3" s="92"/>
      <c r="O3" s="93" t="s">
        <v>650</v>
      </c>
      <c r="P3" s="89" t="s">
        <v>650</v>
      </c>
      <c r="R3" s="134"/>
    </row>
    <row r="4" spans="1:21" s="8" customFormat="1">
      <c r="A4" s="1771" t="s">
        <v>469</v>
      </c>
      <c r="B4" s="1777" t="s">
        <v>1</v>
      </c>
      <c r="C4" s="1774" t="s">
        <v>651</v>
      </c>
      <c r="D4" s="1778" t="s">
        <v>341</v>
      </c>
      <c r="E4" s="1779" t="s">
        <v>165</v>
      </c>
      <c r="F4" s="1772" t="s">
        <v>3</v>
      </c>
      <c r="G4" s="1772"/>
      <c r="H4" s="1773"/>
      <c r="I4" s="1767" t="s">
        <v>788</v>
      </c>
      <c r="J4" s="1767"/>
      <c r="K4" s="1771" t="s">
        <v>611</v>
      </c>
      <c r="L4" s="1771"/>
      <c r="M4" s="1764" t="s">
        <v>790</v>
      </c>
      <c r="N4" s="1764" t="s">
        <v>628</v>
      </c>
      <c r="O4" s="1767" t="s">
        <v>4</v>
      </c>
      <c r="P4" s="1767" t="s">
        <v>4</v>
      </c>
      <c r="R4" s="1788" t="s">
        <v>735</v>
      </c>
    </row>
    <row r="5" spans="1:21" s="8" customFormat="1">
      <c r="A5" s="1771"/>
      <c r="B5" s="1777"/>
      <c r="C5" s="1775"/>
      <c r="D5" s="1778"/>
      <c r="E5" s="1779"/>
      <c r="F5" s="1774" t="s">
        <v>613</v>
      </c>
      <c r="G5" s="1767" t="s">
        <v>6</v>
      </c>
      <c r="H5" s="1767"/>
      <c r="I5" s="1767"/>
      <c r="J5" s="1767"/>
      <c r="K5" s="1771"/>
      <c r="L5" s="1771"/>
      <c r="M5" s="1765"/>
      <c r="N5" s="1765"/>
      <c r="O5" s="1767"/>
      <c r="P5" s="1767"/>
      <c r="R5" s="1788"/>
    </row>
    <row r="6" spans="1:21" s="8" customFormat="1">
      <c r="A6" s="1771"/>
      <c r="B6" s="1777"/>
      <c r="C6" s="1775"/>
      <c r="D6" s="1778"/>
      <c r="E6" s="1779"/>
      <c r="F6" s="1775"/>
      <c r="G6" s="1764" t="s">
        <v>8</v>
      </c>
      <c r="H6" s="1769" t="s">
        <v>615</v>
      </c>
      <c r="I6" s="1767" t="s">
        <v>8</v>
      </c>
      <c r="J6" s="1769" t="s">
        <v>615</v>
      </c>
      <c r="K6" s="1764" t="s">
        <v>8</v>
      </c>
      <c r="L6" s="1764" t="s">
        <v>789</v>
      </c>
      <c r="M6" s="1765"/>
      <c r="N6" s="1765"/>
      <c r="O6" s="1767"/>
      <c r="P6" s="1767"/>
      <c r="R6" s="1788"/>
    </row>
    <row r="7" spans="1:21" s="8" customFormat="1">
      <c r="A7" s="1771"/>
      <c r="B7" s="1777"/>
      <c r="C7" s="1776"/>
      <c r="D7" s="1778"/>
      <c r="E7" s="1779"/>
      <c r="F7" s="1776"/>
      <c r="G7" s="1766"/>
      <c r="H7" s="1770"/>
      <c r="I7" s="1767"/>
      <c r="J7" s="1770"/>
      <c r="K7" s="1766"/>
      <c r="L7" s="1766"/>
      <c r="M7" s="1766"/>
      <c r="N7" s="1766"/>
      <c r="O7" s="1768"/>
      <c r="P7" s="1768"/>
      <c r="R7" s="1788"/>
    </row>
    <row r="8" spans="1:21" s="8" customFormat="1" ht="33.6" customHeight="1">
      <c r="A8" s="719"/>
      <c r="B8" s="721" t="s">
        <v>476</v>
      </c>
      <c r="C8" s="720"/>
      <c r="D8" s="722"/>
      <c r="E8" s="723"/>
      <c r="F8" s="721"/>
      <c r="G8" s="112">
        <f t="shared" ref="G8:M8" si="0">SUBTOTAL(9,G9:G172)</f>
        <v>348237</v>
      </c>
      <c r="H8" s="112">
        <f t="shared" si="0"/>
        <v>50000</v>
      </c>
      <c r="I8" s="112">
        <f t="shared" si="0"/>
        <v>127326</v>
      </c>
      <c r="J8" s="112">
        <f t="shared" si="0"/>
        <v>27826</v>
      </c>
      <c r="K8" s="112">
        <f t="shared" si="0"/>
        <v>34863</v>
      </c>
      <c r="L8" s="112">
        <f t="shared" si="0"/>
        <v>10537</v>
      </c>
      <c r="M8" s="112">
        <f t="shared" si="0"/>
        <v>20537</v>
      </c>
      <c r="N8" s="112"/>
      <c r="O8" s="38"/>
      <c r="P8" s="38"/>
      <c r="Q8" s="113"/>
      <c r="R8" s="1788"/>
    </row>
    <row r="9" spans="1:21" s="8" customFormat="1" ht="33.6" customHeight="1">
      <c r="A9" s="732" t="s">
        <v>471</v>
      </c>
      <c r="B9" s="733" t="s">
        <v>1625</v>
      </c>
      <c r="C9" s="732"/>
      <c r="D9" s="732"/>
      <c r="E9" s="732"/>
      <c r="F9" s="732"/>
      <c r="G9" s="729">
        <f>SUBTOTAL(109,G10:G11)</f>
        <v>348237</v>
      </c>
      <c r="H9" s="729">
        <f t="shared" ref="H9:L9" si="1">SUBTOTAL(109,H10:H11)</f>
        <v>50000</v>
      </c>
      <c r="I9" s="729">
        <f t="shared" si="1"/>
        <v>127326</v>
      </c>
      <c r="J9" s="729">
        <f t="shared" si="1"/>
        <v>27826</v>
      </c>
      <c r="K9" s="729">
        <f t="shared" si="1"/>
        <v>34863</v>
      </c>
      <c r="L9" s="729">
        <f t="shared" si="1"/>
        <v>10537</v>
      </c>
      <c r="M9" s="729">
        <f t="shared" ref="M9" si="2">SUBTOTAL(9,M10:M11)</f>
        <v>10537</v>
      </c>
      <c r="N9" s="729"/>
      <c r="O9" s="729"/>
      <c r="P9" s="729"/>
      <c r="Q9" s="113"/>
      <c r="R9" s="736">
        <f>SUM(R10:R11)</f>
        <v>0</v>
      </c>
    </row>
    <row r="10" spans="1:21" ht="68.45" customHeight="1">
      <c r="A10" s="484">
        <v>1</v>
      </c>
      <c r="B10" s="503" t="s">
        <v>51</v>
      </c>
      <c r="C10" s="497" t="str">
        <f>VLOOKUP($B10,DATA!$B$14:$AU$589,6,0)</f>
        <v>Quảng Bình</v>
      </c>
      <c r="D10" s="497">
        <f>VLOOKUP($B10,DATA!$B$14:$AU$589,7,0)</f>
        <v>2010</v>
      </c>
      <c r="E10" s="497">
        <f>VLOOKUP($B10,DATA!$B$14:$AU$589,9,0)</f>
        <v>2016</v>
      </c>
      <c r="F10" s="497" t="str">
        <f>VLOOKUP($B10,DATA!$B$14:$AU$589,12,0)</f>
        <v>2388/QĐ-UBND ngày 17/9/2010;
944/QĐ-UBND ngày 26/4/2013</v>
      </c>
      <c r="G10" s="483">
        <f>VLOOKUP($B10,DATA!$B$14:$AU$589,13,0)</f>
        <v>257147</v>
      </c>
      <c r="H10" s="483">
        <f>VLOOKUP($B10,DATA!$B$14:$AU$589,15,0)</f>
        <v>50000</v>
      </c>
      <c r="I10" s="483">
        <f>VLOOKUP($B10,DATA!$B$14:$AU$589,26,0)</f>
        <v>87250</v>
      </c>
      <c r="J10" s="483">
        <f>VLOOKUP($B10,DATA!$B$14:$AU$589,28,0)</f>
        <v>18250</v>
      </c>
      <c r="K10" s="483">
        <f>VLOOKUP($B10,DATA!$B$14:$AU$589,29,0)</f>
        <v>20000</v>
      </c>
      <c r="L10" s="483">
        <f>VLOOKUP($B10,DATA!$B$14:$AU$589,30,0)</f>
        <v>5250</v>
      </c>
      <c r="M10" s="483">
        <f>L10*N10/100</f>
        <v>5250</v>
      </c>
      <c r="N10" s="497">
        <v>100</v>
      </c>
      <c r="O10" s="497"/>
      <c r="P10" s="497" t="str">
        <f>VLOOKUP($B10,DATA!$B$14:$AU$589,33,0)</f>
        <v>Cập nhật lại số vốn bố trí</v>
      </c>
      <c r="Q10" s="58"/>
      <c r="R10" s="135"/>
      <c r="S10" s="58"/>
      <c r="T10" s="58"/>
      <c r="U10" s="58"/>
    </row>
    <row r="11" spans="1:21" ht="68.45" customHeight="1">
      <c r="A11" s="484">
        <v>2</v>
      </c>
      <c r="B11" s="501" t="s">
        <v>962</v>
      </c>
      <c r="C11" s="497" t="str">
        <f>VLOOKUP($B11,DATA!$B$14:$AU$589,6,0)</f>
        <v>Lệ Thủy</v>
      </c>
      <c r="D11" s="497">
        <f>VLOOKUP($B11,DATA!$B$14:$AU$589,7,0)</f>
        <v>2011</v>
      </c>
      <c r="E11" s="497">
        <f>VLOOKUP($B11,DATA!$B$14:$AU$589,9,0)</f>
        <v>2013</v>
      </c>
      <c r="F11" s="497" t="str">
        <f>VLOOKUP($B11,DATA!$B$14:$AU$589,12,0)</f>
        <v>1852/QĐ-UBND
 ngày 3/8/2011;
3266/QĐ-UBND 
ngày 28/12/2012.</v>
      </c>
      <c r="G11" s="483">
        <f>VLOOKUP($B11,DATA!$B$14:$AU$589,13,0)</f>
        <v>91090</v>
      </c>
      <c r="H11" s="483">
        <f>VLOOKUP($B11,DATA!$B$14:$AU$589,15,0)</f>
        <v>0</v>
      </c>
      <c r="I11" s="483">
        <f>VLOOKUP($B11,DATA!$B$14:$AU$589,26,0)</f>
        <v>40076</v>
      </c>
      <c r="J11" s="483">
        <f>VLOOKUP($B11,DATA!$B$14:$AU$589,28,0)</f>
        <v>9576</v>
      </c>
      <c r="K11" s="483">
        <f>VLOOKUP($B11,DATA!$B$14:$AU$589,29,0)</f>
        <v>14863</v>
      </c>
      <c r="L11" s="483">
        <f>VLOOKUP($B11,DATA!$B$14:$AU$589,30,0)</f>
        <v>5287</v>
      </c>
      <c r="M11" s="483">
        <f>L11*N11/100</f>
        <v>5287</v>
      </c>
      <c r="N11" s="497">
        <v>100</v>
      </c>
      <c r="O11" s="497"/>
      <c r="P11" s="497" t="str">
        <f>VLOOKUP($B11,DATA!$B$14:$AU$589,33,0)</f>
        <v>Đã quyết toán</v>
      </c>
      <c r="Q11" s="58"/>
      <c r="R11" s="135"/>
      <c r="S11" s="58"/>
      <c r="T11" s="58"/>
      <c r="U11" s="58"/>
    </row>
    <row r="12" spans="1:21" s="31" customFormat="1" ht="47.25">
      <c r="A12" s="732" t="s">
        <v>472</v>
      </c>
      <c r="B12" s="733" t="s">
        <v>1642</v>
      </c>
      <c r="C12" s="732"/>
      <c r="D12" s="732"/>
      <c r="E12" s="732"/>
      <c r="F12" s="732"/>
      <c r="G12" s="729"/>
      <c r="H12" s="729"/>
      <c r="I12" s="729"/>
      <c r="J12" s="729"/>
      <c r="K12" s="729"/>
      <c r="L12" s="729"/>
      <c r="M12" s="729">
        <v>10000</v>
      </c>
      <c r="N12" s="729"/>
      <c r="O12" s="729" t="s">
        <v>653</v>
      </c>
      <c r="P12" s="729" t="s">
        <v>653</v>
      </c>
      <c r="R12" s="737"/>
    </row>
  </sheetData>
  <sortState ref="A21:U25">
    <sortCondition ref="N21:N25"/>
    <sortCondition ref="L21:L25"/>
  </sortState>
  <mergeCells count="21">
    <mergeCell ref="R4:R8"/>
    <mergeCell ref="C4:C7"/>
    <mergeCell ref="H6:H7"/>
    <mergeCell ref="K4:L5"/>
    <mergeCell ref="K6:K7"/>
    <mergeCell ref="P4:P7"/>
    <mergeCell ref="M4:M7"/>
    <mergeCell ref="N4:N7"/>
    <mergeCell ref="O4:O7"/>
    <mergeCell ref="A4:A7"/>
    <mergeCell ref="B4:B7"/>
    <mergeCell ref="L6:L7"/>
    <mergeCell ref="D4:D7"/>
    <mergeCell ref="E4:E7"/>
    <mergeCell ref="J6:J7"/>
    <mergeCell ref="F5:F7"/>
    <mergeCell ref="G5:H5"/>
    <mergeCell ref="G6:G7"/>
    <mergeCell ref="I6:I7"/>
    <mergeCell ref="F4:H4"/>
    <mergeCell ref="I4:J5"/>
  </mergeCells>
  <printOptions horizontalCentered="1"/>
  <pageMargins left="0.7" right="0.7" top="0.75" bottom="0.75" header="0.3" footer="0.3"/>
  <pageSetup paperSize="9" scale="58" fitToHeight="0" orientation="landscape"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14"/>
  <sheetViews>
    <sheetView zoomScale="70" zoomScaleNormal="70" zoomScalePageLayoutView="70" workbookViewId="0">
      <selection activeCell="M9" sqref="M9"/>
    </sheetView>
  </sheetViews>
  <sheetFormatPr defaultColWidth="9" defaultRowHeight="15.75"/>
  <cols>
    <col min="1" max="1" width="5.625" style="44" customWidth="1"/>
    <col min="2" max="2" width="55.625" style="45" customWidth="1"/>
    <col min="3" max="3" width="12.625" style="45" customWidth="1"/>
    <col min="4" max="4" width="8.625" style="46" customWidth="1"/>
    <col min="5" max="5" width="8.625" style="47" customWidth="1"/>
    <col min="6" max="6" width="16.625" style="45" customWidth="1"/>
    <col min="7" max="13" width="10.625" style="44" customWidth="1"/>
    <col min="14" max="14" width="7.625" style="44" customWidth="1"/>
    <col min="15" max="15" width="16.625" style="44" customWidth="1"/>
    <col min="16" max="16" width="16.625" style="44" hidden="1" customWidth="1"/>
    <col min="17" max="16384" width="9" style="44"/>
  </cols>
  <sheetData>
    <row r="1" spans="1:17" s="40" customFormat="1">
      <c r="A1" s="40" t="s">
        <v>676</v>
      </c>
      <c r="B1" s="41"/>
      <c r="C1" s="41"/>
      <c r="D1" s="42"/>
      <c r="E1" s="43"/>
      <c r="F1" s="41"/>
    </row>
    <row r="2" spans="1:17" s="49" customFormat="1">
      <c r="A2" s="49" t="s">
        <v>1589</v>
      </c>
      <c r="B2" s="50"/>
      <c r="C2" s="73"/>
      <c r="D2" s="51"/>
      <c r="E2" s="52"/>
      <c r="F2" s="73"/>
      <c r="M2" s="50"/>
      <c r="N2" s="74"/>
    </row>
    <row r="3" spans="1:17" s="87" customFormat="1">
      <c r="B3" s="88"/>
      <c r="C3" s="89"/>
      <c r="D3" s="90"/>
      <c r="E3" s="91"/>
      <c r="F3" s="89"/>
      <c r="M3" s="88"/>
      <c r="N3" s="92"/>
      <c r="O3" s="93" t="s">
        <v>650</v>
      </c>
      <c r="P3" s="93"/>
    </row>
    <row r="4" spans="1:17" s="8" customFormat="1">
      <c r="A4" s="1771" t="s">
        <v>469</v>
      </c>
      <c r="B4" s="1777" t="s">
        <v>1</v>
      </c>
      <c r="C4" s="1774" t="s">
        <v>651</v>
      </c>
      <c r="D4" s="1778" t="s">
        <v>341</v>
      </c>
      <c r="E4" s="1779" t="s">
        <v>165</v>
      </c>
      <c r="F4" s="1772" t="s">
        <v>3</v>
      </c>
      <c r="G4" s="1772"/>
      <c r="H4" s="1773"/>
      <c r="I4" s="1767" t="s">
        <v>788</v>
      </c>
      <c r="J4" s="1767"/>
      <c r="K4" s="1771" t="s">
        <v>611</v>
      </c>
      <c r="L4" s="1771"/>
      <c r="M4" s="1764" t="s">
        <v>790</v>
      </c>
      <c r="N4" s="1764" t="s">
        <v>628</v>
      </c>
      <c r="O4" s="1767" t="s">
        <v>4</v>
      </c>
      <c r="P4" s="1767" t="s">
        <v>4</v>
      </c>
    </row>
    <row r="5" spans="1:17" s="8" customFormat="1">
      <c r="A5" s="1771"/>
      <c r="B5" s="1777"/>
      <c r="C5" s="1775"/>
      <c r="D5" s="1778"/>
      <c r="E5" s="1779"/>
      <c r="F5" s="1774" t="s">
        <v>613</v>
      </c>
      <c r="G5" s="1767" t="s">
        <v>6</v>
      </c>
      <c r="H5" s="1767"/>
      <c r="I5" s="1767"/>
      <c r="J5" s="1767"/>
      <c r="K5" s="1771"/>
      <c r="L5" s="1771"/>
      <c r="M5" s="1765"/>
      <c r="N5" s="1765"/>
      <c r="O5" s="1767"/>
      <c r="P5" s="1767"/>
    </row>
    <row r="6" spans="1:17" s="8" customFormat="1">
      <c r="A6" s="1771"/>
      <c r="B6" s="1777"/>
      <c r="C6" s="1775"/>
      <c r="D6" s="1778"/>
      <c r="E6" s="1779"/>
      <c r="F6" s="1775"/>
      <c r="G6" s="1764" t="s">
        <v>8</v>
      </c>
      <c r="H6" s="1769" t="s">
        <v>615</v>
      </c>
      <c r="I6" s="1767" t="s">
        <v>8</v>
      </c>
      <c r="J6" s="1769" t="s">
        <v>615</v>
      </c>
      <c r="K6" s="1764" t="s">
        <v>8</v>
      </c>
      <c r="L6" s="1764" t="s">
        <v>789</v>
      </c>
      <c r="M6" s="1765"/>
      <c r="N6" s="1765"/>
      <c r="O6" s="1767"/>
      <c r="P6" s="1767"/>
    </row>
    <row r="7" spans="1:17" s="8" customFormat="1">
      <c r="A7" s="1771"/>
      <c r="B7" s="1777"/>
      <c r="C7" s="1776"/>
      <c r="D7" s="1778"/>
      <c r="E7" s="1779"/>
      <c r="F7" s="1776"/>
      <c r="G7" s="1766"/>
      <c r="H7" s="1770"/>
      <c r="I7" s="1767"/>
      <c r="J7" s="1770"/>
      <c r="K7" s="1766"/>
      <c r="L7" s="1766"/>
      <c r="M7" s="1766"/>
      <c r="N7" s="1766"/>
      <c r="O7" s="1768"/>
      <c r="P7" s="1768"/>
    </row>
    <row r="8" spans="1:17" s="8" customFormat="1" ht="35.450000000000003" customHeight="1">
      <c r="A8" s="719"/>
      <c r="B8" s="721" t="s">
        <v>470</v>
      </c>
      <c r="C8" s="720"/>
      <c r="D8" s="722"/>
      <c r="E8" s="723"/>
      <c r="F8" s="721"/>
      <c r="G8" s="738">
        <f t="shared" ref="G8:M8" si="0">SUBTOTAL(109,G9:G199)</f>
        <v>558701</v>
      </c>
      <c r="H8" s="738">
        <f t="shared" si="0"/>
        <v>223481</v>
      </c>
      <c r="I8" s="738">
        <f t="shared" si="0"/>
        <v>161711</v>
      </c>
      <c r="J8" s="738">
        <f t="shared" si="0"/>
        <v>26434</v>
      </c>
      <c r="K8" s="738">
        <f t="shared" si="0"/>
        <v>86934</v>
      </c>
      <c r="L8" s="738">
        <f t="shared" si="0"/>
        <v>60500</v>
      </c>
      <c r="M8" s="738">
        <f t="shared" si="0"/>
        <v>21716</v>
      </c>
      <c r="N8" s="554"/>
      <c r="O8" s="555"/>
      <c r="P8" s="555"/>
    </row>
    <row r="9" spans="1:17" s="49" customFormat="1" ht="35.450000000000003" customHeight="1">
      <c r="A9" s="732" t="s">
        <v>471</v>
      </c>
      <c r="B9" s="733" t="s">
        <v>1625</v>
      </c>
      <c r="C9" s="732"/>
      <c r="D9" s="732"/>
      <c r="E9" s="732"/>
      <c r="F9" s="732"/>
      <c r="G9" s="729">
        <f>SUBTOTAL(109,G10:G11)</f>
        <v>558701</v>
      </c>
      <c r="H9" s="729">
        <f t="shared" ref="H9:M9" si="1">SUBTOTAL(109,H10:H11)</f>
        <v>223481</v>
      </c>
      <c r="I9" s="729">
        <f t="shared" si="1"/>
        <v>161711</v>
      </c>
      <c r="J9" s="729">
        <f t="shared" si="1"/>
        <v>26434</v>
      </c>
      <c r="K9" s="729">
        <f t="shared" si="1"/>
        <v>86934</v>
      </c>
      <c r="L9" s="729">
        <f t="shared" si="1"/>
        <v>60500</v>
      </c>
      <c r="M9" s="729">
        <f t="shared" si="1"/>
        <v>21716</v>
      </c>
      <c r="N9" s="729"/>
      <c r="O9" s="729"/>
      <c r="P9" s="729"/>
    </row>
    <row r="10" spans="1:17" ht="35.450000000000003" customHeight="1">
      <c r="A10" s="484">
        <v>1</v>
      </c>
      <c r="B10" s="507" t="s">
        <v>27</v>
      </c>
      <c r="C10" s="497" t="str">
        <f>VLOOKUP($B10,DATA!$B$14:$AU$589,6,0)</f>
        <v>Minh Hóa</v>
      </c>
      <c r="D10" s="497">
        <f>VLOOKUP($B10,DATA!$B$14:$AU$589,7,0)</f>
        <v>2016</v>
      </c>
      <c r="E10" s="497">
        <f>VLOOKUP($B10,DATA!$B$14:$AU$589,9,0)</f>
        <v>2018</v>
      </c>
      <c r="F10" s="497" t="str">
        <f>VLOOKUP($B10,DATA!$B$14:$AU$589,12,0)</f>
        <v>1515/QĐ-UBND ngày 01/7/2013</v>
      </c>
      <c r="G10" s="483">
        <f>VLOOKUP($B10,DATA!$B$14:$AU$589,13,0)</f>
        <v>167137</v>
      </c>
      <c r="H10" s="483">
        <f>VLOOKUP($B10,DATA!$B$14:$AU$589,15,0)</f>
        <v>66855</v>
      </c>
      <c r="I10" s="483">
        <f>VLOOKUP($B10,DATA!$B$14:$AU$589,26,0)</f>
        <v>49268</v>
      </c>
      <c r="J10" s="483">
        <f>VLOOKUP($B10,DATA!$B$14:$AU$589,28,0)</f>
        <v>14184</v>
      </c>
      <c r="K10" s="483">
        <f>VLOOKUP($B10,DATA!$B$14:$AU$589,29,0)</f>
        <v>25900</v>
      </c>
      <c r="L10" s="483">
        <f>VLOOKUP($B10,DATA!$B$14:$AU$589,30,0)</f>
        <v>11716</v>
      </c>
      <c r="M10" s="483">
        <f>L10*N10/100</f>
        <v>11716</v>
      </c>
      <c r="N10" s="497">
        <v>100</v>
      </c>
      <c r="O10" s="497"/>
      <c r="P10" s="497">
        <f>VLOOKUP($B10,DATA!$B$14:$AU$589,33,0)</f>
        <v>0</v>
      </c>
      <c r="Q10" s="48"/>
    </row>
    <row r="11" spans="1:17" ht="35.450000000000003" customHeight="1">
      <c r="A11" s="484">
        <v>2</v>
      </c>
      <c r="B11" s="507" t="s">
        <v>31</v>
      </c>
      <c r="C11" s="497" t="str">
        <f>VLOOKUP($B11,DATA!$B$14:$AU$589,6,0)</f>
        <v>Minh Hóa</v>
      </c>
      <c r="D11" s="497">
        <f>VLOOKUP($B11,DATA!$B$14:$AU$589,7,0)</f>
        <v>2015</v>
      </c>
      <c r="E11" s="497">
        <f>VLOOKUP($B11,DATA!$B$14:$AU$589,9,0)</f>
        <v>2020</v>
      </c>
      <c r="F11" s="497" t="str">
        <f>VLOOKUP($B11,DATA!$B$14:$AU$589,12,0)</f>
        <v>3064/QĐ-UBND ngày 29/10/2014</v>
      </c>
      <c r="G11" s="483">
        <f>VLOOKUP($B11,DATA!$B$14:$AU$589,13,0)</f>
        <v>391564</v>
      </c>
      <c r="H11" s="483">
        <f>VLOOKUP($B11,DATA!$B$14:$AU$589,15,0)</f>
        <v>156626</v>
      </c>
      <c r="I11" s="483">
        <f>VLOOKUP($B11,DATA!$B$14:$AU$589,26,0)</f>
        <v>112443</v>
      </c>
      <c r="J11" s="483">
        <f>VLOOKUP($B11,DATA!$B$14:$AU$589,28,0)</f>
        <v>12250</v>
      </c>
      <c r="K11" s="483">
        <f>VLOOKUP($B11,DATA!$B$14:$AU$589,29,0)</f>
        <v>61034</v>
      </c>
      <c r="L11" s="483">
        <f>VLOOKUP($B11,DATA!$B$14:$AU$589,30,0)</f>
        <v>48784</v>
      </c>
      <c r="M11" s="483">
        <v>10000</v>
      </c>
      <c r="N11" s="526">
        <f>M11*100/L11</f>
        <v>20.498524106264348</v>
      </c>
      <c r="O11" s="497"/>
      <c r="P11" s="497">
        <f>VLOOKUP($B11,DATA!$B$14:$AU$589,33,0)</f>
        <v>0</v>
      </c>
      <c r="Q11" s="48"/>
    </row>
    <row r="14" spans="1:17">
      <c r="L14" s="48"/>
    </row>
  </sheetData>
  <mergeCells count="20">
    <mergeCell ref="K6:K7"/>
    <mergeCell ref="L6:L7"/>
    <mergeCell ref="N4:N7"/>
    <mergeCell ref="P4:P7"/>
    <mergeCell ref="M4:M7"/>
    <mergeCell ref="K4:L5"/>
    <mergeCell ref="O4:O7"/>
    <mergeCell ref="C4:C7"/>
    <mergeCell ref="D4:D7"/>
    <mergeCell ref="A4:A7"/>
    <mergeCell ref="B4:B7"/>
    <mergeCell ref="I6:I7"/>
    <mergeCell ref="E4:E7"/>
    <mergeCell ref="F4:H4"/>
    <mergeCell ref="I4:J5"/>
    <mergeCell ref="F5:F7"/>
    <mergeCell ref="G5:H5"/>
    <mergeCell ref="G6:G7"/>
    <mergeCell ref="J6:J7"/>
    <mergeCell ref="H6:H7"/>
  </mergeCells>
  <printOptions horizontalCentered="1"/>
  <pageMargins left="0.7" right="0.7" top="0.75" bottom="0.75" header="0.3" footer="0.3"/>
  <pageSetup paperSize="9" scale="59" fitToHeight="0" orientation="landscape"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F25"/>
  <sheetViews>
    <sheetView view="pageBreakPreview" topLeftCell="A9" zoomScale="70" zoomScaleNormal="70" zoomScaleSheetLayoutView="70" zoomScalePageLayoutView="70" workbookViewId="0">
      <selection activeCell="M9" sqref="M9"/>
    </sheetView>
  </sheetViews>
  <sheetFormatPr defaultColWidth="9" defaultRowHeight="15.75"/>
  <cols>
    <col min="1" max="1" width="5.625" style="61" customWidth="1"/>
    <col min="2" max="2" width="55.625" style="18" customWidth="1"/>
    <col min="3" max="3" width="12.625" style="18" customWidth="1"/>
    <col min="4" max="4" width="8.625" style="16" customWidth="1"/>
    <col min="5" max="5" width="8.625" style="17" customWidth="1"/>
    <col min="6" max="6" width="16.625" style="18" customWidth="1"/>
    <col min="7" max="13" width="10.625" style="15" customWidth="1"/>
    <col min="14" max="14" width="5.625" style="61" customWidth="1"/>
    <col min="15" max="15" width="16.625" style="18" customWidth="1"/>
    <col min="16" max="16" width="16.625" style="18" hidden="1" customWidth="1"/>
    <col min="17" max="17" width="10.25" style="15" customWidth="1"/>
    <col min="18" max="16384" width="9" style="15"/>
  </cols>
  <sheetData>
    <row r="1" spans="1:240">
      <c r="A1" s="59" t="s">
        <v>677</v>
      </c>
      <c r="B1" s="59"/>
      <c r="C1" s="59"/>
      <c r="D1" s="59"/>
      <c r="E1" s="59"/>
      <c r="F1" s="59"/>
      <c r="G1" s="59"/>
      <c r="H1" s="59"/>
      <c r="I1" s="59"/>
      <c r="J1" s="59"/>
      <c r="K1" s="59"/>
      <c r="L1" s="59"/>
      <c r="M1" s="59"/>
      <c r="N1" s="59"/>
      <c r="O1" s="59"/>
      <c r="P1" s="59"/>
    </row>
    <row r="2" spans="1:240" s="49" customFormat="1">
      <c r="A2" s="49" t="s">
        <v>1589</v>
      </c>
      <c r="B2" s="50"/>
      <c r="C2" s="73"/>
      <c r="D2" s="94"/>
      <c r="E2" s="95"/>
      <c r="F2" s="73"/>
      <c r="M2" s="50"/>
      <c r="N2" s="74"/>
    </row>
    <row r="3" spans="1:240" s="87" customFormat="1">
      <c r="B3" s="88"/>
      <c r="C3" s="89"/>
      <c r="D3" s="96"/>
      <c r="E3" s="97"/>
      <c r="F3" s="89"/>
      <c r="M3" s="88"/>
      <c r="N3" s="92"/>
      <c r="O3" s="93" t="s">
        <v>650</v>
      </c>
      <c r="P3" s="93"/>
    </row>
    <row r="4" spans="1:240" s="8" customFormat="1">
      <c r="A4" s="1771" t="s">
        <v>469</v>
      </c>
      <c r="B4" s="1777" t="s">
        <v>1</v>
      </c>
      <c r="C4" s="1774" t="s">
        <v>651</v>
      </c>
      <c r="D4" s="1778" t="s">
        <v>341</v>
      </c>
      <c r="E4" s="1779" t="s">
        <v>165</v>
      </c>
      <c r="F4" s="1772" t="s">
        <v>3</v>
      </c>
      <c r="G4" s="1772"/>
      <c r="H4" s="1773"/>
      <c r="I4" s="1767" t="s">
        <v>788</v>
      </c>
      <c r="J4" s="1767"/>
      <c r="K4" s="1771" t="s">
        <v>611</v>
      </c>
      <c r="L4" s="1771"/>
      <c r="M4" s="1764" t="s">
        <v>790</v>
      </c>
      <c r="N4" s="1764" t="s">
        <v>628</v>
      </c>
      <c r="O4" s="1767" t="s">
        <v>4</v>
      </c>
      <c r="P4" s="1767" t="s">
        <v>4</v>
      </c>
    </row>
    <row r="5" spans="1:240" s="8" customFormat="1">
      <c r="A5" s="1771"/>
      <c r="B5" s="1777"/>
      <c r="C5" s="1775"/>
      <c r="D5" s="1778"/>
      <c r="E5" s="1779"/>
      <c r="F5" s="1774" t="s">
        <v>613</v>
      </c>
      <c r="G5" s="1767" t="s">
        <v>6</v>
      </c>
      <c r="H5" s="1767"/>
      <c r="I5" s="1767"/>
      <c r="J5" s="1767"/>
      <c r="K5" s="1771"/>
      <c r="L5" s="1771"/>
      <c r="M5" s="1765"/>
      <c r="N5" s="1765"/>
      <c r="O5" s="1767"/>
      <c r="P5" s="1767"/>
    </row>
    <row r="6" spans="1:240" s="8" customFormat="1">
      <c r="A6" s="1771"/>
      <c r="B6" s="1777"/>
      <c r="C6" s="1775"/>
      <c r="D6" s="1778"/>
      <c r="E6" s="1779"/>
      <c r="F6" s="1775"/>
      <c r="G6" s="1764" t="s">
        <v>8</v>
      </c>
      <c r="H6" s="1769" t="s">
        <v>615</v>
      </c>
      <c r="I6" s="1767" t="s">
        <v>8</v>
      </c>
      <c r="J6" s="1769" t="s">
        <v>615</v>
      </c>
      <c r="K6" s="1764" t="s">
        <v>8</v>
      </c>
      <c r="L6" s="1764" t="s">
        <v>789</v>
      </c>
      <c r="M6" s="1765"/>
      <c r="N6" s="1765"/>
      <c r="O6" s="1767"/>
      <c r="P6" s="1767"/>
    </row>
    <row r="7" spans="1:240" s="8" customFormat="1">
      <c r="A7" s="1771"/>
      <c r="B7" s="1777"/>
      <c r="C7" s="1776"/>
      <c r="D7" s="1778"/>
      <c r="E7" s="1779"/>
      <c r="F7" s="1776"/>
      <c r="G7" s="1766"/>
      <c r="H7" s="1770"/>
      <c r="I7" s="1767"/>
      <c r="J7" s="1770"/>
      <c r="K7" s="1766"/>
      <c r="L7" s="1766"/>
      <c r="M7" s="1766"/>
      <c r="N7" s="1766"/>
      <c r="O7" s="1768"/>
      <c r="P7" s="1768"/>
    </row>
    <row r="8" spans="1:240" s="8" customFormat="1" ht="33.6" customHeight="1">
      <c r="A8" s="4"/>
      <c r="B8" s="721" t="s">
        <v>476</v>
      </c>
      <c r="C8" s="4"/>
      <c r="D8" s="4"/>
      <c r="E8" s="4"/>
      <c r="F8" s="4"/>
      <c r="G8" s="20">
        <f t="shared" ref="G8:L8" si="0">SUBTOTAL(9,G9:G200)</f>
        <v>1416095</v>
      </c>
      <c r="H8" s="20">
        <f t="shared" si="0"/>
        <v>584805</v>
      </c>
      <c r="I8" s="20">
        <f t="shared" si="0"/>
        <v>214503</v>
      </c>
      <c r="J8" s="20">
        <f t="shared" si="0"/>
        <v>179790</v>
      </c>
      <c r="K8" s="20">
        <f t="shared" si="0"/>
        <v>346081</v>
      </c>
      <c r="L8" s="20">
        <f t="shared" si="0"/>
        <v>178435</v>
      </c>
      <c r="M8" s="20">
        <f>SUBTOTAL(9,M9:M200)</f>
        <v>99700.5</v>
      </c>
      <c r="N8" s="20"/>
      <c r="O8" s="4"/>
      <c r="P8" s="4"/>
    </row>
    <row r="9" spans="1:240" s="8" customFormat="1" ht="31.9" customHeight="1">
      <c r="A9" s="732" t="s">
        <v>471</v>
      </c>
      <c r="B9" s="733" t="s">
        <v>1625</v>
      </c>
      <c r="C9" s="732"/>
      <c r="D9" s="732"/>
      <c r="E9" s="732"/>
      <c r="F9" s="732"/>
      <c r="G9" s="729">
        <f t="shared" ref="G9:M9" si="1">SUBTOTAL(9,G10:G20)</f>
        <v>1129716</v>
      </c>
      <c r="H9" s="729">
        <f t="shared" si="1"/>
        <v>534099</v>
      </c>
      <c r="I9" s="729">
        <f t="shared" si="1"/>
        <v>214413</v>
      </c>
      <c r="J9" s="729">
        <f t="shared" si="1"/>
        <v>179700</v>
      </c>
      <c r="K9" s="729">
        <f t="shared" si="1"/>
        <v>326085</v>
      </c>
      <c r="L9" s="729">
        <f t="shared" si="1"/>
        <v>158529</v>
      </c>
      <c r="M9" s="729">
        <f t="shared" si="1"/>
        <v>79747.5</v>
      </c>
      <c r="N9" s="729"/>
      <c r="O9" s="729"/>
      <c r="P9" s="729"/>
    </row>
    <row r="10" spans="1:240" s="8" customFormat="1" ht="33.6" customHeight="1">
      <c r="A10" s="484">
        <v>1</v>
      </c>
      <c r="B10" s="504" t="s">
        <v>948</v>
      </c>
      <c r="C10" s="497" t="str">
        <f>VLOOKUP($B10,DATA!$B$14:$AU$589,6,0)</f>
        <v>Quảng Bình</v>
      </c>
      <c r="D10" s="497">
        <f>VLOOKUP($B10,DATA!$B$14:$AU$589,7,0)</f>
        <v>2013</v>
      </c>
      <c r="E10" s="497">
        <f>VLOOKUP($B10,DATA!$B$14:$AU$589,9,0)</f>
        <v>2018</v>
      </c>
      <c r="F10" s="497" t="str">
        <f>VLOOKUP($B10,DATA!$B$14:$AU$589,12,0)</f>
        <v>3156/QĐ-UBND ngày 31/10/2014</v>
      </c>
      <c r="G10" s="483">
        <f>VLOOKUP($B10,DATA!$B$14:$AU$589,13,0)</f>
        <v>141538</v>
      </c>
      <c r="H10" s="483">
        <f>VLOOKUP($B10,DATA!$B$14:$AU$589,15,0)</f>
        <v>4900</v>
      </c>
      <c r="I10" s="483">
        <f>VLOOKUP($B10,DATA!$B$14:$AU$589,26,0)</f>
        <v>11400</v>
      </c>
      <c r="J10" s="483">
        <f>VLOOKUP($B10,DATA!$B$14:$AU$589,28,0)</f>
        <v>4500</v>
      </c>
      <c r="K10" s="483">
        <f>VLOOKUP($B10,DATA!$B$14:$AU$589,29,0)</f>
        <v>4127</v>
      </c>
      <c r="L10" s="483">
        <f>VLOOKUP($B10,DATA!$B$14:$AU$589,30,0)</f>
        <v>127</v>
      </c>
      <c r="M10" s="483">
        <f t="shared" ref="M10:M20" si="2">L10*N10/100</f>
        <v>127</v>
      </c>
      <c r="N10" s="497">
        <v>100</v>
      </c>
      <c r="O10" s="497"/>
      <c r="P10" s="497" t="str">
        <f>VLOOKUP($B10,DATA!$B$14:$AU$589,33,0)</f>
        <v>UBND tỉnh</v>
      </c>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c r="HH10" s="60"/>
      <c r="HI10" s="60"/>
      <c r="HJ10" s="60"/>
      <c r="HK10" s="60"/>
      <c r="HL10" s="60"/>
      <c r="HM10" s="60"/>
      <c r="HN10" s="60"/>
      <c r="HO10" s="60"/>
      <c r="HP10" s="60"/>
      <c r="HQ10" s="60"/>
      <c r="HR10" s="60"/>
      <c r="HS10" s="60"/>
      <c r="HT10" s="60"/>
      <c r="HU10" s="60"/>
      <c r="HV10" s="60"/>
      <c r="HW10" s="60"/>
      <c r="HX10" s="60"/>
      <c r="HY10" s="60"/>
      <c r="HZ10" s="60"/>
      <c r="IA10" s="60"/>
      <c r="IB10" s="60"/>
      <c r="IC10" s="60"/>
      <c r="ID10" s="60"/>
      <c r="IE10" s="60"/>
      <c r="IF10" s="60"/>
    </row>
    <row r="11" spans="1:240" s="8" customFormat="1" ht="31.5">
      <c r="A11" s="484">
        <v>2</v>
      </c>
      <c r="B11" s="505" t="s">
        <v>75</v>
      </c>
      <c r="C11" s="497" t="str">
        <f>VLOOKUP($B11,DATA!$B$14:$AU$589,6,0)</f>
        <v>Quảng Bình</v>
      </c>
      <c r="D11" s="497">
        <f>VLOOKUP($B11,DATA!$B$14:$AU$589,7,0)</f>
        <v>2015</v>
      </c>
      <c r="E11" s="497">
        <f>VLOOKUP($B11,DATA!$B$14:$AU$589,9,0)</f>
        <v>2018</v>
      </c>
      <c r="F11" s="497" t="str">
        <f>VLOOKUP($B11,DATA!$B$14:$AU$589,12,0)</f>
        <v>77/QĐ-UBND ngày 13/1/2016</v>
      </c>
      <c r="G11" s="483">
        <f>VLOOKUP($B11,DATA!$B$14:$AU$589,13,0)</f>
        <v>6339</v>
      </c>
      <c r="H11" s="483">
        <f>VLOOKUP($B11,DATA!$B$14:$AU$589,15,0)</f>
        <v>6339</v>
      </c>
      <c r="I11" s="483">
        <f>VLOOKUP($B11,DATA!$B$14:$AU$589,26,0)</f>
        <v>5500</v>
      </c>
      <c r="J11" s="483">
        <f>VLOOKUP($B11,DATA!$B$14:$AU$589,28,0)</f>
        <v>5500</v>
      </c>
      <c r="K11" s="483">
        <f>VLOOKUP($B11,DATA!$B$14:$AU$589,29,0)</f>
        <v>6339</v>
      </c>
      <c r="L11" s="483">
        <f>VLOOKUP($B11,DATA!$B$14:$AU$589,30,0)</f>
        <v>839</v>
      </c>
      <c r="M11" s="483">
        <f t="shared" si="2"/>
        <v>839</v>
      </c>
      <c r="N11" s="497">
        <v>100</v>
      </c>
      <c r="O11" s="497"/>
      <c r="P11" s="497" t="str">
        <f>VLOOKUP($B11,DATA!$B$14:$AU$589,33,0)</f>
        <v>Sở Nông nghiệp và PTNT</v>
      </c>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c r="ET11" s="60"/>
      <c r="EU11" s="60"/>
      <c r="EV11" s="60"/>
      <c r="EW11" s="60"/>
      <c r="EX11" s="60"/>
      <c r="EY11" s="60"/>
      <c r="EZ11" s="60"/>
      <c r="FA11" s="60"/>
      <c r="FB11" s="60"/>
      <c r="FC11" s="60"/>
      <c r="FD11" s="60"/>
      <c r="FE11" s="60"/>
      <c r="FF11" s="60"/>
      <c r="FG11" s="60"/>
      <c r="FH11" s="60"/>
      <c r="FI11" s="60"/>
      <c r="FJ11" s="60"/>
      <c r="FK11" s="60"/>
      <c r="FL11" s="60"/>
      <c r="FM11" s="60"/>
      <c r="FN11" s="60"/>
      <c r="FO11" s="60"/>
      <c r="FP11" s="60"/>
      <c r="FQ11" s="60"/>
      <c r="FR11" s="60"/>
      <c r="FS11" s="60"/>
      <c r="FT11" s="60"/>
      <c r="FU11" s="60"/>
      <c r="FV11" s="60"/>
      <c r="FW11" s="60"/>
      <c r="FX11" s="60"/>
      <c r="FY11" s="60"/>
      <c r="FZ11" s="60"/>
      <c r="GA11" s="60"/>
      <c r="GB11" s="60"/>
      <c r="GC11" s="60"/>
      <c r="GD11" s="60"/>
      <c r="GE11" s="60"/>
      <c r="GF11" s="60"/>
      <c r="GG11" s="60"/>
      <c r="GH11" s="60"/>
      <c r="GI11" s="60"/>
      <c r="GJ11" s="60"/>
      <c r="GK11" s="60"/>
      <c r="GL11" s="60"/>
      <c r="GM11" s="60"/>
      <c r="GN11" s="60"/>
      <c r="GO11" s="60"/>
      <c r="GP11" s="60"/>
      <c r="GQ11" s="60"/>
      <c r="GR11" s="60"/>
      <c r="GS11" s="60"/>
      <c r="GT11" s="60"/>
      <c r="GU11" s="60"/>
      <c r="GV11" s="60"/>
      <c r="GW11" s="60"/>
      <c r="GX11" s="60"/>
      <c r="GY11" s="60"/>
      <c r="GZ11" s="60"/>
      <c r="HA11" s="60"/>
      <c r="HB11" s="60"/>
      <c r="HC11" s="60"/>
      <c r="HD11" s="60"/>
      <c r="HE11" s="60"/>
      <c r="HF11" s="60"/>
      <c r="HG11" s="60"/>
      <c r="HH11" s="60"/>
      <c r="HI11" s="60"/>
      <c r="HJ11" s="60"/>
      <c r="HK11" s="60"/>
      <c r="HL11" s="60"/>
      <c r="HM11" s="60"/>
      <c r="HN11" s="60"/>
      <c r="HO11" s="60"/>
      <c r="HP11" s="60"/>
      <c r="HQ11" s="60"/>
      <c r="HR11" s="60"/>
      <c r="HS11" s="60"/>
      <c r="HT11" s="60"/>
      <c r="HU11" s="60"/>
      <c r="HV11" s="60"/>
      <c r="HW11" s="60"/>
      <c r="HX11" s="60"/>
      <c r="HY11" s="60"/>
      <c r="HZ11" s="60"/>
      <c r="IA11" s="60"/>
      <c r="IB11" s="60"/>
      <c r="IC11" s="60"/>
      <c r="ID11" s="60"/>
      <c r="IE11" s="60"/>
      <c r="IF11" s="60"/>
    </row>
    <row r="12" spans="1:240" s="8" customFormat="1" ht="31.5">
      <c r="A12" s="484">
        <v>3</v>
      </c>
      <c r="B12" s="504" t="s">
        <v>1643</v>
      </c>
      <c r="C12" s="497" t="str">
        <f>VLOOKUP($B12,DATA!$B$14:$AU$589,6,0)</f>
        <v>Quảng Trạch</v>
      </c>
      <c r="D12" s="497">
        <f>VLOOKUP($B12,DATA!$B$14:$AU$589,7,0)</f>
        <v>2010</v>
      </c>
      <c r="E12" s="497">
        <f>VLOOKUP($B12,DATA!$B$14:$AU$589,9,0)</f>
        <v>2019</v>
      </c>
      <c r="F12" s="497" t="str">
        <f>VLOOKUP($B12,DATA!$B$14:$AU$589,12,0)</f>
        <v>1106/QĐ-UBND ngày 07/5/2014</v>
      </c>
      <c r="G12" s="483">
        <f>VLOOKUP($B12,DATA!$B$14:$AU$589,13,0)</f>
        <v>122095</v>
      </c>
      <c r="H12" s="483">
        <f>VLOOKUP($B12,DATA!$B$14:$AU$589,15,0)</f>
        <v>69246</v>
      </c>
      <c r="I12" s="483">
        <f>VLOOKUP($B12,DATA!$B$14:$AU$589,26,0)</f>
        <v>77113</v>
      </c>
      <c r="J12" s="483">
        <f>VLOOKUP($B12,DATA!$B$14:$AU$589,28,0)</f>
        <v>50600</v>
      </c>
      <c r="K12" s="483">
        <f>VLOOKUP($B12,DATA!$B$14:$AU$589,29,0)</f>
        <v>60446</v>
      </c>
      <c r="L12" s="483">
        <f>VLOOKUP($B12,DATA!$B$14:$AU$589,30,0)</f>
        <v>18646</v>
      </c>
      <c r="M12" s="483">
        <f t="shared" si="2"/>
        <v>9323</v>
      </c>
      <c r="N12" s="497">
        <v>50</v>
      </c>
      <c r="O12" s="497" t="s">
        <v>1655</v>
      </c>
      <c r="P12" s="497" t="str">
        <f>VLOOKUP($B12,DATA!$B$14:$AU$589,33,0)</f>
        <v>UBND huyện Quảng Trạch</v>
      </c>
    </row>
    <row r="13" spans="1:240" s="12" customFormat="1" ht="47.25">
      <c r="A13" s="484">
        <v>4</v>
      </c>
      <c r="B13" s="506" t="s">
        <v>73</v>
      </c>
      <c r="C13" s="497" t="str">
        <f>VLOOKUP($B13,DATA!$B$14:$AU$589,6,0)</f>
        <v>Quảng Bình</v>
      </c>
      <c r="D13" s="497">
        <f>VLOOKUP($B13,DATA!$B$14:$AU$589,7,0)</f>
        <v>2016</v>
      </c>
      <c r="E13" s="497">
        <f>VLOOKUP($B13,DATA!$B$14:$AU$589,9,0)</f>
        <v>2020</v>
      </c>
      <c r="F13" s="497" t="str">
        <f>VLOOKUP($B13,DATA!$B$14:$AU$589,12,0)</f>
        <v>4638/QĐ-BNN-HTQT ngày 9/11/2015</v>
      </c>
      <c r="G13" s="483">
        <f>VLOOKUP($B13,DATA!$B$14:$AU$589,13,0)</f>
        <v>14404</v>
      </c>
      <c r="H13" s="483">
        <f>VLOOKUP($B13,DATA!$B$14:$AU$589,15,0)</f>
        <v>14404</v>
      </c>
      <c r="I13" s="483">
        <f>VLOOKUP($B13,DATA!$B$14:$AU$589,26,0)</f>
        <v>9000</v>
      </c>
      <c r="J13" s="483">
        <f>VLOOKUP($B13,DATA!$B$14:$AU$589,28,0)</f>
        <v>9000</v>
      </c>
      <c r="K13" s="483">
        <f>VLOOKUP($B13,DATA!$B$14:$AU$589,29,0)</f>
        <v>10100</v>
      </c>
      <c r="L13" s="483">
        <f>VLOOKUP($B13,DATA!$B$14:$AU$589,30,0)</f>
        <v>3900</v>
      </c>
      <c r="M13" s="483">
        <f t="shared" si="2"/>
        <v>1950</v>
      </c>
      <c r="N13" s="497">
        <v>50</v>
      </c>
      <c r="O13" s="497"/>
      <c r="P13" s="497" t="str">
        <f>VLOOKUP($B13,DATA!$B$14:$AU$589,33,0)</f>
        <v>Sở Nông nghiệp và PTNT</v>
      </c>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row>
    <row r="14" spans="1:240" s="8" customFormat="1" ht="63">
      <c r="A14" s="484">
        <v>5</v>
      </c>
      <c r="B14" s="504" t="s">
        <v>70</v>
      </c>
      <c r="C14" s="497" t="str">
        <f>VLOOKUP($B14,DATA!$B$14:$AU$589,6,0)</f>
        <v>Quảng Bình</v>
      </c>
      <c r="D14" s="497">
        <f>VLOOKUP($B14,DATA!$B$14:$AU$589,7,0)</f>
        <v>2012</v>
      </c>
      <c r="E14" s="497">
        <f>VLOOKUP($B14,DATA!$B$14:$AU$589,9,0)</f>
        <v>2021</v>
      </c>
      <c r="F14" s="497" t="str">
        <f>VLOOKUP($B14,DATA!$B$14:$AU$589,12,0)</f>
        <v xml:space="preserve">1828/QĐ-UBND ngày 10/8/2012; 3075/QĐ-UBND ngày 31/8/2017 </v>
      </c>
      <c r="G14" s="483">
        <f>VLOOKUP($B14,DATA!$B$14:$AU$589,13,0)</f>
        <v>30623</v>
      </c>
      <c r="H14" s="483">
        <f>VLOOKUP($B14,DATA!$B$14:$AU$589,15,0)</f>
        <v>21367</v>
      </c>
      <c r="I14" s="483">
        <f>VLOOKUP($B14,DATA!$B$14:$AU$589,26,0)</f>
        <v>6700</v>
      </c>
      <c r="J14" s="483">
        <f>VLOOKUP($B14,DATA!$B$14:$AU$589,28,0)</f>
        <v>5400</v>
      </c>
      <c r="K14" s="483">
        <f>VLOOKUP($B14,DATA!$B$14:$AU$589,29,0)</f>
        <v>29223</v>
      </c>
      <c r="L14" s="483">
        <f>VLOOKUP($B14,DATA!$B$14:$AU$589,30,0)</f>
        <v>15967</v>
      </c>
      <c r="M14" s="483">
        <f t="shared" si="2"/>
        <v>7983.5</v>
      </c>
      <c r="N14" s="497">
        <v>50</v>
      </c>
      <c r="O14" s="497"/>
      <c r="P14" s="497" t="str">
        <f>VLOOKUP($B14,DATA!$B$14:$AU$589,33,0)</f>
        <v>Sở Nông nghiệp và PTNT</v>
      </c>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c r="FS14" s="60"/>
      <c r="FT14" s="60"/>
      <c r="FU14" s="60"/>
      <c r="FV14" s="60"/>
      <c r="FW14" s="60"/>
      <c r="FX14" s="60"/>
      <c r="FY14" s="60"/>
      <c r="FZ14" s="60"/>
      <c r="GA14" s="60"/>
      <c r="GB14" s="60"/>
      <c r="GC14" s="60"/>
      <c r="GD14" s="60"/>
      <c r="GE14" s="60"/>
      <c r="GF14" s="60"/>
      <c r="GG14" s="60"/>
      <c r="GH14" s="60"/>
      <c r="GI14" s="60"/>
      <c r="GJ14" s="60"/>
      <c r="GK14" s="60"/>
      <c r="GL14" s="60"/>
      <c r="GM14" s="60"/>
      <c r="GN14" s="60"/>
      <c r="GO14" s="60"/>
      <c r="GP14" s="60"/>
      <c r="GQ14" s="60"/>
      <c r="GR14" s="60"/>
      <c r="GS14" s="60"/>
      <c r="GT14" s="60"/>
      <c r="GU14" s="60"/>
      <c r="GV14" s="60"/>
      <c r="GW14" s="60"/>
      <c r="GX14" s="60"/>
      <c r="GY14" s="60"/>
      <c r="GZ14" s="60"/>
      <c r="HA14" s="60"/>
      <c r="HB14" s="60"/>
      <c r="HC14" s="60"/>
      <c r="HD14" s="60"/>
      <c r="HE14" s="60"/>
      <c r="HF14" s="60"/>
      <c r="HG14" s="60"/>
      <c r="HH14" s="60"/>
      <c r="HI14" s="60"/>
      <c r="HJ14" s="60"/>
      <c r="HK14" s="60"/>
      <c r="HL14" s="60"/>
      <c r="HM14" s="60"/>
      <c r="HN14" s="60"/>
      <c r="HO14" s="60"/>
      <c r="HP14" s="60"/>
      <c r="HQ14" s="60"/>
      <c r="HR14" s="60"/>
      <c r="HS14" s="60"/>
      <c r="HT14" s="60"/>
      <c r="HU14" s="60"/>
      <c r="HV14" s="60"/>
      <c r="HW14" s="60"/>
      <c r="HX14" s="60"/>
      <c r="HY14" s="60"/>
      <c r="HZ14" s="60"/>
      <c r="IA14" s="60"/>
      <c r="IB14" s="60"/>
      <c r="IC14" s="60"/>
      <c r="ID14" s="60"/>
      <c r="IE14" s="60"/>
      <c r="IF14" s="60"/>
    </row>
    <row r="15" spans="1:240" s="12" customFormat="1" ht="31.5">
      <c r="A15" s="484">
        <v>6</v>
      </c>
      <c r="B15" s="506" t="s">
        <v>74</v>
      </c>
      <c r="C15" s="497" t="str">
        <f>VLOOKUP($B15,DATA!$B$14:$AU$589,6,0)</f>
        <v>Quảng Bình</v>
      </c>
      <c r="D15" s="497">
        <f>VLOOKUP($B15,DATA!$B$14:$AU$589,7,0)</f>
        <v>2016</v>
      </c>
      <c r="E15" s="497">
        <f>VLOOKUP($B15,DATA!$B$14:$AU$589,9,0)</f>
        <v>2021</v>
      </c>
      <c r="F15" s="497" t="str">
        <f>VLOOKUP($B15,DATA!$B$14:$AU$589,12,0)</f>
        <v>622/QĐ-BGTVT ngày 2/3/2016</v>
      </c>
      <c r="G15" s="483">
        <f>VLOOKUP($B15,DATA!$B$14:$AU$589,13,0)</f>
        <v>146500</v>
      </c>
      <c r="H15" s="483">
        <f>VLOOKUP($B15,DATA!$B$14:$AU$589,15,0)</f>
        <v>10500</v>
      </c>
      <c r="I15" s="483">
        <f>VLOOKUP($B15,DATA!$B$14:$AU$589,26,0)</f>
        <v>3500</v>
      </c>
      <c r="J15" s="483">
        <f>VLOOKUP($B15,DATA!$B$14:$AU$589,28,0)</f>
        <v>3500</v>
      </c>
      <c r="K15" s="483">
        <f>VLOOKUP($B15,DATA!$B$14:$AU$589,29,0)</f>
        <v>7350</v>
      </c>
      <c r="L15" s="483">
        <f>VLOOKUP($B15,DATA!$B$14:$AU$589,30,0)</f>
        <v>3850</v>
      </c>
      <c r="M15" s="483">
        <f t="shared" si="2"/>
        <v>1925</v>
      </c>
      <c r="N15" s="497">
        <v>50</v>
      </c>
      <c r="O15" s="497"/>
      <c r="P15" s="497" t="str">
        <f>VLOOKUP($B15,DATA!$B$14:$AU$589,33,0)</f>
        <v>Sở Giao thông Vận tải</v>
      </c>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c r="FS15" s="60"/>
      <c r="FT15" s="60"/>
      <c r="FU15" s="60"/>
      <c r="FV15" s="60"/>
      <c r="FW15" s="60"/>
      <c r="FX15" s="60"/>
      <c r="FY15" s="60"/>
      <c r="FZ15" s="60"/>
      <c r="GA15" s="60"/>
      <c r="GB15" s="60"/>
      <c r="GC15" s="60"/>
      <c r="GD15" s="60"/>
      <c r="GE15" s="60"/>
      <c r="GF15" s="60"/>
      <c r="GG15" s="60"/>
      <c r="GH15" s="60"/>
      <c r="GI15" s="60"/>
      <c r="GJ15" s="60"/>
      <c r="GK15" s="60"/>
      <c r="GL15" s="60"/>
      <c r="GM15" s="60"/>
      <c r="GN15" s="60"/>
      <c r="GO15" s="60"/>
      <c r="GP15" s="60"/>
      <c r="GQ15" s="60"/>
      <c r="GR15" s="60"/>
      <c r="GS15" s="60"/>
      <c r="GT15" s="60"/>
      <c r="GU15" s="60"/>
      <c r="GV15" s="60"/>
      <c r="GW15" s="60"/>
      <c r="GX15" s="60"/>
      <c r="GY15" s="60"/>
      <c r="GZ15" s="60"/>
      <c r="HA15" s="60"/>
      <c r="HB15" s="60"/>
      <c r="HC15" s="60"/>
      <c r="HD15" s="60"/>
      <c r="HE15" s="60"/>
      <c r="HF15" s="60"/>
      <c r="HG15" s="60"/>
      <c r="HH15" s="60"/>
      <c r="HI15" s="60"/>
      <c r="HJ15" s="60"/>
      <c r="HK15" s="60"/>
      <c r="HL15" s="60"/>
      <c r="HM15" s="60"/>
      <c r="HN15" s="60"/>
      <c r="HO15" s="60"/>
      <c r="HP15" s="60"/>
      <c r="HQ15" s="60"/>
      <c r="HR15" s="60"/>
      <c r="HS15" s="60"/>
      <c r="HT15" s="60"/>
      <c r="HU15" s="60"/>
      <c r="HV15" s="60"/>
      <c r="HW15" s="60"/>
      <c r="HX15" s="60"/>
      <c r="HY15" s="60"/>
      <c r="HZ15" s="60"/>
      <c r="IA15" s="60"/>
      <c r="IB15" s="60"/>
      <c r="IC15" s="60"/>
      <c r="ID15" s="60"/>
      <c r="IE15" s="60"/>
      <c r="IF15" s="60"/>
    </row>
    <row r="16" spans="1:240" s="12" customFormat="1" ht="63">
      <c r="A16" s="484">
        <v>7</v>
      </c>
      <c r="B16" s="506" t="s">
        <v>72</v>
      </c>
      <c r="C16" s="497" t="str">
        <f>VLOOKUP($B16,DATA!$B$14:$AU$589,6,0)</f>
        <v>Quảng Bình</v>
      </c>
      <c r="D16" s="497">
        <f>VLOOKUP($B16,DATA!$B$14:$AU$589,7,0)</f>
        <v>2017</v>
      </c>
      <c r="E16" s="497">
        <f>VLOOKUP($B16,DATA!$B$14:$AU$589,9,0)</f>
        <v>2021</v>
      </c>
      <c r="F16" s="497" t="str">
        <f>VLOOKUP($B16,DATA!$B$14:$AU$589,12,0)</f>
        <v>1236/QĐ-BTNMT ngày 30/5/2016; 896/QĐ-UBND ngày 21/3/2017</v>
      </c>
      <c r="G16" s="483">
        <f>VLOOKUP($B16,DATA!$B$14:$AU$589,13,0)</f>
        <v>10125</v>
      </c>
      <c r="H16" s="483">
        <f>VLOOKUP($B16,DATA!$B$14:$AU$589,15,0)</f>
        <v>10125</v>
      </c>
      <c r="I16" s="483">
        <f>VLOOKUP($B16,DATA!$B$14:$AU$589,26,0)</f>
        <v>0</v>
      </c>
      <c r="J16" s="483">
        <f>VLOOKUP($B16,DATA!$B$14:$AU$589,28,0)</f>
        <v>0</v>
      </c>
      <c r="K16" s="483">
        <f>VLOOKUP($B16,DATA!$B$14:$AU$589,29,0)</f>
        <v>7000</v>
      </c>
      <c r="L16" s="483">
        <f>VLOOKUP($B16,DATA!$B$14:$AU$589,30,0)</f>
        <v>7000</v>
      </c>
      <c r="M16" s="483">
        <f t="shared" si="2"/>
        <v>3500</v>
      </c>
      <c r="N16" s="497">
        <v>50</v>
      </c>
      <c r="O16" s="497"/>
      <c r="P16" s="497" t="str">
        <f>VLOOKUP($B16,DATA!$B$14:$AU$589,33,0)</f>
        <v>Sở Tài nguyên - Môi trường</v>
      </c>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row>
    <row r="17" spans="1:240" s="12" customFormat="1" ht="63">
      <c r="A17" s="484">
        <v>8</v>
      </c>
      <c r="B17" s="506" t="s">
        <v>582</v>
      </c>
      <c r="C17" s="497" t="str">
        <f>VLOOKUP($B17,DATA!$B$14:$AU$589,6,0)</f>
        <v>Đồng Hới</v>
      </c>
      <c r="D17" s="497">
        <f>VLOOKUP($B17,DATA!$B$14:$AU$589,7,0)</f>
        <v>2016</v>
      </c>
      <c r="E17" s="497">
        <f>VLOOKUP($B17,DATA!$B$14:$AU$589,9,0)</f>
        <v>2021</v>
      </c>
      <c r="F17" s="497" t="str">
        <f>VLOOKUP($B17,DATA!$B$14:$AU$589,12,0)</f>
        <v>221/QĐ-UBND ngày 28/1/2015; 2681/QĐ-UBND ngày 29/9/2015</v>
      </c>
      <c r="G17" s="483">
        <f>VLOOKUP($B17,DATA!$B$14:$AU$589,13,0)</f>
        <v>165282</v>
      </c>
      <c r="H17" s="483">
        <f>VLOOKUP($B17,DATA!$B$14:$AU$589,15,0)</f>
        <v>165282</v>
      </c>
      <c r="I17" s="483">
        <f>VLOOKUP($B17,DATA!$B$14:$AU$589,26,0)</f>
        <v>40800</v>
      </c>
      <c r="J17" s="483">
        <f>VLOOKUP($B17,DATA!$B$14:$AU$589,28,0)</f>
        <v>40800</v>
      </c>
      <c r="K17" s="483">
        <f>VLOOKUP($B17,DATA!$B$14:$AU$589,29,0)</f>
        <v>83000</v>
      </c>
      <c r="L17" s="483">
        <f>VLOOKUP($B17,DATA!$B$14:$AU$589,30,0)</f>
        <v>49200</v>
      </c>
      <c r="M17" s="483">
        <f t="shared" si="2"/>
        <v>24600</v>
      </c>
      <c r="N17" s="497">
        <v>50</v>
      </c>
      <c r="O17" s="497"/>
      <c r="P17" s="497" t="str">
        <f>VLOOKUP($B17,DATA!$B$14:$AU$589,33,0)</f>
        <v>UBND tỉnh</v>
      </c>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60"/>
      <c r="FZ17" s="60"/>
      <c r="GA17" s="60"/>
      <c r="GB17" s="60"/>
      <c r="GC17" s="60"/>
      <c r="GD17" s="60"/>
      <c r="GE17" s="60"/>
      <c r="GF17" s="60"/>
      <c r="GG17" s="60"/>
      <c r="GH17" s="60"/>
      <c r="GI17" s="60"/>
      <c r="GJ17" s="60"/>
      <c r="GK17" s="60"/>
      <c r="GL17" s="60"/>
      <c r="GM17" s="60"/>
      <c r="GN17" s="60"/>
      <c r="GO17" s="60"/>
      <c r="GP17" s="60"/>
      <c r="GQ17" s="60"/>
      <c r="GR17" s="60"/>
      <c r="GS17" s="60"/>
      <c r="GT17" s="60"/>
      <c r="GU17" s="60"/>
      <c r="GV17" s="60"/>
      <c r="GW17" s="60"/>
      <c r="GX17" s="60"/>
      <c r="GY17" s="60"/>
      <c r="GZ17" s="60"/>
      <c r="HA17" s="60"/>
      <c r="HB17" s="60"/>
      <c r="HC17" s="60"/>
      <c r="HD17" s="60"/>
      <c r="HE17" s="60"/>
      <c r="HF17" s="60"/>
      <c r="HG17" s="60"/>
      <c r="HH17" s="60"/>
      <c r="HI17" s="60"/>
      <c r="HJ17" s="60"/>
      <c r="HK17" s="60"/>
      <c r="HL17" s="60"/>
      <c r="HM17" s="60"/>
      <c r="HN17" s="60"/>
      <c r="HO17" s="60"/>
      <c r="HP17" s="60"/>
      <c r="HQ17" s="60"/>
      <c r="HR17" s="60"/>
      <c r="HS17" s="60"/>
      <c r="HT17" s="60"/>
      <c r="HU17" s="60"/>
      <c r="HV17" s="60"/>
      <c r="HW17" s="60"/>
      <c r="HX17" s="60"/>
      <c r="HY17" s="60"/>
      <c r="HZ17" s="60"/>
      <c r="IA17" s="60"/>
      <c r="IB17" s="60"/>
      <c r="IC17" s="60"/>
      <c r="ID17" s="60"/>
      <c r="IE17" s="60"/>
      <c r="IF17" s="60"/>
    </row>
    <row r="18" spans="1:240" s="12" customFormat="1" ht="31.5">
      <c r="A18" s="484">
        <v>9</v>
      </c>
      <c r="B18" s="506" t="s">
        <v>71</v>
      </c>
      <c r="C18" s="497" t="str">
        <f>VLOOKUP($B18,DATA!$B$14:$AU$589,6,0)</f>
        <v>Đồng Hới</v>
      </c>
      <c r="D18" s="497">
        <f>VLOOKUP($B18,DATA!$B$14:$AU$589,7,0)</f>
        <v>2017</v>
      </c>
      <c r="E18" s="497">
        <f>VLOOKUP($B18,DATA!$B$14:$AU$589,9,0)</f>
        <v>2022</v>
      </c>
      <c r="F18" s="497" t="str">
        <f>VLOOKUP($B18,DATA!$B$14:$AU$589,12,0)</f>
        <v>3520/QĐ-UBND ngày 31/10/2016</v>
      </c>
      <c r="G18" s="483">
        <f>VLOOKUP($B18,DATA!$B$14:$AU$589,13,0)</f>
        <v>176000</v>
      </c>
      <c r="H18" s="483">
        <f>VLOOKUP($B18,DATA!$B$14:$AU$589,15,0)</f>
        <v>95274</v>
      </c>
      <c r="I18" s="483">
        <f>VLOOKUP($B18,DATA!$B$14:$AU$589,26,0)</f>
        <v>40400</v>
      </c>
      <c r="J18" s="483">
        <f>VLOOKUP($B18,DATA!$B$14:$AU$589,28,0)</f>
        <v>40400</v>
      </c>
      <c r="K18" s="483">
        <f>VLOOKUP($B18,DATA!$B$14:$AU$589,29,0)</f>
        <v>48000</v>
      </c>
      <c r="L18" s="483">
        <f>VLOOKUP($B18,DATA!$B$14:$AU$589,30,0)</f>
        <v>8500</v>
      </c>
      <c r="M18" s="483">
        <f t="shared" si="2"/>
        <v>4250</v>
      </c>
      <c r="N18" s="497">
        <v>50</v>
      </c>
      <c r="O18" s="497"/>
      <c r="P18" s="497" t="str">
        <f>VLOOKUP($B18,DATA!$B$14:$AU$589,33,0)</f>
        <v>UBND tỉnh</v>
      </c>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c r="DV18" s="60"/>
      <c r="DW18" s="60"/>
      <c r="DX18" s="60"/>
      <c r="DY18" s="60"/>
      <c r="DZ18" s="60"/>
      <c r="EA18" s="60"/>
      <c r="EB18" s="60"/>
      <c r="EC18" s="60"/>
      <c r="ED18" s="60"/>
      <c r="EE18" s="60"/>
      <c r="EF18" s="60"/>
      <c r="EG18" s="60"/>
      <c r="EH18" s="60"/>
      <c r="EI18" s="60"/>
      <c r="EJ18" s="60"/>
      <c r="EK18" s="60"/>
      <c r="EL18" s="60"/>
      <c r="EM18" s="60"/>
      <c r="EN18" s="60"/>
      <c r="EO18" s="60"/>
      <c r="EP18" s="60"/>
      <c r="EQ18" s="60"/>
      <c r="ER18" s="60"/>
      <c r="ES18" s="60"/>
      <c r="ET18" s="60"/>
      <c r="EU18" s="60"/>
      <c r="EV18" s="60"/>
      <c r="EW18" s="60"/>
      <c r="EX18" s="60"/>
      <c r="EY18" s="60"/>
      <c r="EZ18" s="60"/>
      <c r="FA18" s="60"/>
      <c r="FB18" s="60"/>
      <c r="FC18" s="60"/>
      <c r="FD18" s="60"/>
      <c r="FE18" s="60"/>
      <c r="FF18" s="60"/>
      <c r="FG18" s="60"/>
      <c r="FH18" s="60"/>
      <c r="FI18" s="60"/>
      <c r="FJ18" s="60"/>
      <c r="FK18" s="60"/>
      <c r="FL18" s="60"/>
      <c r="FM18" s="60"/>
      <c r="FN18" s="60"/>
      <c r="FO18" s="60"/>
      <c r="FP18" s="60"/>
      <c r="FQ18" s="60"/>
      <c r="FR18" s="60"/>
      <c r="FS18" s="60"/>
      <c r="FT18" s="60"/>
      <c r="FU18" s="60"/>
      <c r="FV18" s="60"/>
      <c r="FW18" s="60"/>
      <c r="FX18" s="60"/>
      <c r="FY18" s="60"/>
      <c r="FZ18" s="60"/>
      <c r="GA18" s="60"/>
      <c r="GB18" s="60"/>
      <c r="GC18" s="60"/>
      <c r="GD18" s="60"/>
      <c r="GE18" s="60"/>
      <c r="GF18" s="60"/>
      <c r="GG18" s="60"/>
      <c r="GH18" s="60"/>
      <c r="GI18" s="60"/>
      <c r="GJ18" s="60"/>
      <c r="GK18" s="60"/>
      <c r="GL18" s="60"/>
      <c r="GM18" s="60"/>
      <c r="GN18" s="60"/>
      <c r="GO18" s="60"/>
      <c r="GP18" s="60"/>
      <c r="GQ18" s="60"/>
      <c r="GR18" s="60"/>
      <c r="GS18" s="60"/>
      <c r="GT18" s="60"/>
      <c r="GU18" s="60"/>
      <c r="GV18" s="60"/>
      <c r="GW18" s="60"/>
      <c r="GX18" s="60"/>
      <c r="GY18" s="60"/>
      <c r="GZ18" s="60"/>
      <c r="HA18" s="60"/>
      <c r="HB18" s="60"/>
      <c r="HC18" s="60"/>
      <c r="HD18" s="60"/>
      <c r="HE18" s="60"/>
      <c r="HF18" s="60"/>
      <c r="HG18" s="60"/>
      <c r="HH18" s="60"/>
      <c r="HI18" s="60"/>
      <c r="HJ18" s="60"/>
      <c r="HK18" s="60"/>
      <c r="HL18" s="60"/>
      <c r="HM18" s="60"/>
      <c r="HN18" s="60"/>
      <c r="HO18" s="60"/>
      <c r="HP18" s="60"/>
      <c r="HQ18" s="60"/>
      <c r="HR18" s="60"/>
      <c r="HS18" s="60"/>
      <c r="HT18" s="60"/>
      <c r="HU18" s="60"/>
      <c r="HV18" s="60"/>
      <c r="HW18" s="60"/>
      <c r="HX18" s="60"/>
      <c r="HY18" s="60"/>
      <c r="HZ18" s="60"/>
      <c r="IA18" s="60"/>
      <c r="IB18" s="60"/>
      <c r="IC18" s="60"/>
      <c r="ID18" s="60"/>
      <c r="IE18" s="60"/>
      <c r="IF18" s="60"/>
    </row>
    <row r="19" spans="1:240" s="12" customFormat="1" ht="31.5">
      <c r="A19" s="484">
        <v>10</v>
      </c>
      <c r="B19" s="506" t="s">
        <v>583</v>
      </c>
      <c r="C19" s="497" t="str">
        <f>VLOOKUP($B19,DATA!$B$14:$AU$589,6,0)</f>
        <v>Quảng Bình</v>
      </c>
      <c r="D19" s="497">
        <f>VLOOKUP($B19,DATA!$B$14:$AU$589,7,0)</f>
        <v>2017</v>
      </c>
      <c r="E19" s="497">
        <f>VLOOKUP($B19,DATA!$B$14:$AU$589,9,0)</f>
        <v>2022</v>
      </c>
      <c r="F19" s="497" t="str">
        <f>VLOOKUP($B19,DATA!$B$14:$AU$589,12,0)</f>
        <v>1756/QĐ-UBND ngày 30/5/2018</v>
      </c>
      <c r="G19" s="483">
        <f>VLOOKUP($B19,DATA!$B$14:$AU$589,13,0)</f>
        <v>259610</v>
      </c>
      <c r="H19" s="483">
        <f>VLOOKUP($B19,DATA!$B$14:$AU$589,15,0)</f>
        <v>118162</v>
      </c>
      <c r="I19" s="483">
        <f>VLOOKUP($B19,DATA!$B$14:$AU$589,26,0)</f>
        <v>20000</v>
      </c>
      <c r="J19" s="483">
        <f>VLOOKUP($B19,DATA!$B$14:$AU$589,28,0)</f>
        <v>20000</v>
      </c>
      <c r="K19" s="483">
        <f>VLOOKUP($B19,DATA!$B$14:$AU$589,29,0)</f>
        <v>61000</v>
      </c>
      <c r="L19" s="483">
        <f>VLOOKUP($B19,DATA!$B$14:$AU$589,30,0)</f>
        <v>41000</v>
      </c>
      <c r="M19" s="483">
        <f t="shared" si="2"/>
        <v>20500</v>
      </c>
      <c r="N19" s="497">
        <v>50</v>
      </c>
      <c r="O19" s="497"/>
      <c r="P19" s="497" t="str">
        <f>VLOOKUP($B19,DATA!$B$14:$AU$589,33,0)</f>
        <v>Sở Kế hoạch và Đầu tư</v>
      </c>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c r="FS19" s="60"/>
      <c r="FT19" s="60"/>
      <c r="FU19" s="60"/>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c r="HH19" s="60"/>
      <c r="HI19" s="60"/>
      <c r="HJ19" s="60"/>
      <c r="HK19" s="60"/>
      <c r="HL19" s="60"/>
      <c r="HM19" s="60"/>
      <c r="HN19" s="60"/>
      <c r="HO19" s="60"/>
      <c r="HP19" s="60"/>
      <c r="HQ19" s="60"/>
      <c r="HR19" s="60"/>
      <c r="HS19" s="60"/>
      <c r="HT19" s="60"/>
      <c r="HU19" s="60"/>
      <c r="HV19" s="60"/>
      <c r="HW19" s="60"/>
      <c r="HX19" s="60"/>
      <c r="HY19" s="60"/>
      <c r="HZ19" s="60"/>
      <c r="IA19" s="60"/>
      <c r="IB19" s="60"/>
      <c r="IC19" s="60"/>
      <c r="ID19" s="60"/>
      <c r="IE19" s="60"/>
      <c r="IF19" s="60"/>
    </row>
    <row r="20" spans="1:240" s="14" customFormat="1" ht="39" customHeight="1">
      <c r="A20" s="484">
        <v>11</v>
      </c>
      <c r="B20" s="506" t="s">
        <v>585</v>
      </c>
      <c r="C20" s="497" t="str">
        <f>VLOOKUP($B20,DATA!$B$14:$AU$589,6,0)</f>
        <v>Quảng Bình</v>
      </c>
      <c r="D20" s="497">
        <f>VLOOKUP($B20,DATA!$B$14:$AU$589,7,0)</f>
        <v>2018</v>
      </c>
      <c r="E20" s="497">
        <f>VLOOKUP($B20,DATA!$B$14:$AU$589,9,0)</f>
        <v>2023</v>
      </c>
      <c r="F20" s="497" t="str">
        <f>VLOOKUP($B20,DATA!$B$14:$AU$589,12,0)</f>
        <v>3983/QĐ-UBND ngày 2/11/2017</v>
      </c>
      <c r="G20" s="483">
        <f>VLOOKUP($B20,DATA!$B$14:$AU$589,13,0)</f>
        <v>57200</v>
      </c>
      <c r="H20" s="483">
        <f>VLOOKUP($B20,DATA!$B$14:$AU$589,15,0)</f>
        <v>18500</v>
      </c>
      <c r="I20" s="483">
        <f>VLOOKUP($B20,DATA!$B$14:$AU$589,26,0)</f>
        <v>0</v>
      </c>
      <c r="J20" s="483">
        <f>VLOOKUP($B20,DATA!$B$14:$AU$589,28,0)</f>
        <v>0</v>
      </c>
      <c r="K20" s="483">
        <f>VLOOKUP($B20,DATA!$B$14:$AU$589,29,0)</f>
        <v>9500</v>
      </c>
      <c r="L20" s="483">
        <f>VLOOKUP($B20,DATA!$B$14:$AU$589,30,0)</f>
        <v>9500</v>
      </c>
      <c r="M20" s="483">
        <f t="shared" si="2"/>
        <v>4750</v>
      </c>
      <c r="N20" s="497">
        <v>50</v>
      </c>
      <c r="O20" s="497"/>
      <c r="P20" s="497" t="str">
        <f>VLOOKUP($B20,DATA!$B$14:$AU$589,33,0)</f>
        <v>Sở Nông nghiệp và PTNT</v>
      </c>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60"/>
      <c r="DY20" s="60"/>
      <c r="DZ20" s="60"/>
      <c r="EA20" s="60"/>
      <c r="EB20" s="60"/>
      <c r="EC20" s="60"/>
      <c r="ED20" s="60"/>
      <c r="EE20" s="60"/>
      <c r="EF20" s="60"/>
      <c r="EG20" s="60"/>
      <c r="EH20" s="60"/>
      <c r="EI20" s="60"/>
      <c r="EJ20" s="60"/>
      <c r="EK20" s="60"/>
      <c r="EL20" s="60"/>
      <c r="EM20" s="60"/>
      <c r="EN20" s="60"/>
      <c r="EO20" s="60"/>
      <c r="EP20" s="60"/>
      <c r="EQ20" s="60"/>
      <c r="ER20" s="60"/>
      <c r="ES20" s="60"/>
      <c r="ET20" s="60"/>
      <c r="EU20" s="60"/>
      <c r="EV20" s="60"/>
      <c r="EW20" s="60"/>
      <c r="EX20" s="60"/>
      <c r="EY20" s="60"/>
      <c r="EZ20" s="60"/>
      <c r="FA20" s="60"/>
      <c r="FB20" s="60"/>
      <c r="FC20" s="60"/>
      <c r="FD20" s="60"/>
      <c r="FE20" s="60"/>
      <c r="FF20" s="60"/>
      <c r="FG20" s="60"/>
      <c r="FH20" s="60"/>
      <c r="FI20" s="60"/>
      <c r="FJ20" s="60"/>
      <c r="FK20" s="60"/>
      <c r="FL20" s="60"/>
      <c r="FM20" s="60"/>
      <c r="FN20" s="60"/>
      <c r="FO20" s="60"/>
      <c r="FP20" s="60"/>
      <c r="FQ20" s="60"/>
      <c r="FR20" s="60"/>
      <c r="FS20" s="60"/>
      <c r="FT20" s="60"/>
      <c r="FU20" s="60"/>
      <c r="FV20" s="60"/>
      <c r="FW20" s="60"/>
      <c r="FX20" s="60"/>
      <c r="FY20" s="60"/>
      <c r="FZ20" s="60"/>
      <c r="GA20" s="60"/>
      <c r="GB20" s="60"/>
      <c r="GC20" s="60"/>
      <c r="GD20" s="60"/>
      <c r="GE20" s="60"/>
      <c r="GF20" s="60"/>
      <c r="GG20" s="60"/>
      <c r="GH20" s="60"/>
      <c r="GI20" s="60"/>
      <c r="GJ20" s="60"/>
      <c r="GK20" s="60"/>
      <c r="GL20" s="60"/>
      <c r="GM20" s="60"/>
      <c r="GN20" s="60"/>
      <c r="GO20" s="60"/>
      <c r="GP20" s="60"/>
      <c r="GQ20" s="60"/>
      <c r="GR20" s="60"/>
      <c r="GS20" s="60"/>
      <c r="GT20" s="60"/>
      <c r="GU20" s="60"/>
      <c r="GV20" s="60"/>
      <c r="GW20" s="60"/>
      <c r="GX20" s="60"/>
      <c r="GY20" s="60"/>
      <c r="GZ20" s="60"/>
      <c r="HA20" s="60"/>
      <c r="HB20" s="60"/>
      <c r="HC20" s="60"/>
      <c r="HD20" s="60"/>
      <c r="HE20" s="60"/>
      <c r="HF20" s="60"/>
      <c r="HG20" s="60"/>
      <c r="HH20" s="60"/>
      <c r="HI20" s="60"/>
      <c r="HJ20" s="60"/>
      <c r="HK20" s="60"/>
      <c r="HL20" s="60"/>
      <c r="HM20" s="60"/>
      <c r="HN20" s="60"/>
      <c r="HO20" s="60"/>
      <c r="HP20" s="60"/>
      <c r="HQ20" s="60"/>
      <c r="HR20" s="60"/>
      <c r="HS20" s="60"/>
      <c r="HT20" s="60"/>
      <c r="HU20" s="60"/>
      <c r="HV20" s="60"/>
      <c r="HW20" s="60"/>
      <c r="HX20" s="60"/>
      <c r="HY20" s="60"/>
      <c r="HZ20" s="60"/>
      <c r="IA20" s="60"/>
      <c r="IB20" s="60"/>
      <c r="IC20" s="60"/>
      <c r="ID20" s="60"/>
      <c r="IE20" s="60"/>
      <c r="IF20" s="60"/>
    </row>
    <row r="21" spans="1:240" s="49" customFormat="1" ht="31.9" customHeight="1">
      <c r="A21" s="732" t="s">
        <v>472</v>
      </c>
      <c r="B21" s="733" t="s">
        <v>1627</v>
      </c>
      <c r="C21" s="732"/>
      <c r="D21" s="732"/>
      <c r="E21" s="732"/>
      <c r="F21" s="732"/>
      <c r="G21" s="729">
        <f t="shared" ref="G21:M21" si="3">SUBTOTAL(9,G22:G24)</f>
        <v>286379</v>
      </c>
      <c r="H21" s="729">
        <f t="shared" si="3"/>
        <v>50706</v>
      </c>
      <c r="I21" s="729">
        <f t="shared" si="3"/>
        <v>90</v>
      </c>
      <c r="J21" s="729">
        <f t="shared" si="3"/>
        <v>90</v>
      </c>
      <c r="K21" s="729">
        <f t="shared" si="3"/>
        <v>19996</v>
      </c>
      <c r="L21" s="729">
        <f t="shared" si="3"/>
        <v>19906</v>
      </c>
      <c r="M21" s="729">
        <f t="shared" si="3"/>
        <v>9953</v>
      </c>
      <c r="N21" s="729"/>
      <c r="O21" s="729"/>
      <c r="P21" s="729"/>
    </row>
    <row r="22" spans="1:240" ht="47.25">
      <c r="A22" s="484">
        <v>1</v>
      </c>
      <c r="B22" s="498" t="s">
        <v>1288</v>
      </c>
      <c r="C22" s="497" t="str">
        <f>VLOOKUP($B22,DATA!$B$14:$AU$589,6,0)</f>
        <v>Ba Đồn</v>
      </c>
      <c r="D22" s="497">
        <f>VLOOKUP($B22,DATA!$B$14:$AU$589,7,0)</f>
        <v>2018</v>
      </c>
      <c r="E22" s="497">
        <f>VLOOKUP($B22,DATA!$B$14:$AU$589,9,0)</f>
        <v>2020</v>
      </c>
      <c r="F22" s="497" t="str">
        <f>VLOOKUP($B22,DATA!$B$14:$AU$589,12,0)</f>
        <v>3530/QĐ-UBND ngày 23/10/2018</v>
      </c>
      <c r="G22" s="483">
        <f>VLOOKUP($B22,DATA!$B$14:$AU$589,13,0)</f>
        <v>164669</v>
      </c>
      <c r="H22" s="483">
        <f>VLOOKUP($B22,DATA!$B$14:$AU$589,15,0)</f>
        <v>3996</v>
      </c>
      <c r="I22" s="483">
        <f>VLOOKUP($B22,DATA!$B$14:$AU$589,26,0)</f>
        <v>0</v>
      </c>
      <c r="J22" s="483">
        <f>VLOOKUP($B22,DATA!$B$14:$AU$589,28,0)</f>
        <v>0</v>
      </c>
      <c r="K22" s="483">
        <f>VLOOKUP($B22,DATA!$B$14:$AU$589,29,0)</f>
        <v>3996</v>
      </c>
      <c r="L22" s="483">
        <f>VLOOKUP($B22,DATA!$B$14:$AU$589,30,0)</f>
        <v>3996</v>
      </c>
      <c r="M22" s="483">
        <f t="shared" ref="M22:M24" si="4">L22*N22/100</f>
        <v>1998</v>
      </c>
      <c r="N22" s="497">
        <v>50</v>
      </c>
      <c r="O22" s="497"/>
      <c r="P22" s="497" t="str">
        <f>VLOOKUP($B22,DATA!$B$14:$AU$589,33,0)</f>
        <v>P.KTĐN
đề xuất bố trí</v>
      </c>
    </row>
    <row r="23" spans="1:240" ht="31.5">
      <c r="A23" s="484">
        <v>2</v>
      </c>
      <c r="B23" s="498" t="s">
        <v>1291</v>
      </c>
      <c r="C23" s="497" t="str">
        <f>VLOOKUP($B23,DATA!$B$14:$AU$589,6,0)</f>
        <v>Đồng Hới</v>
      </c>
      <c r="D23" s="497">
        <f>VLOOKUP($B23,DATA!$B$14:$AU$589,7,0)</f>
        <v>2018</v>
      </c>
      <c r="E23" s="497">
        <f>VLOOKUP($B23,DATA!$B$14:$AU$589,9,0)</f>
        <v>2020</v>
      </c>
      <c r="F23" s="497" t="str">
        <f>VLOOKUP($B23,DATA!$B$14:$AU$589,12,0)</f>
        <v>3355/QĐ-UBND ngày 10/10/2018</v>
      </c>
      <c r="G23" s="483">
        <f>VLOOKUP($B23,DATA!$B$14:$AU$589,13,0)</f>
        <v>81000</v>
      </c>
      <c r="H23" s="483">
        <f>VLOOKUP($B23,DATA!$B$14:$AU$589,15,0)</f>
        <v>6000</v>
      </c>
      <c r="I23" s="483">
        <f>VLOOKUP($B23,DATA!$B$14:$AU$589,26,0)</f>
        <v>90</v>
      </c>
      <c r="J23" s="483">
        <f>VLOOKUP($B23,DATA!$B$14:$AU$589,28,0)</f>
        <v>90</v>
      </c>
      <c r="K23" s="483">
        <f>VLOOKUP($B23,DATA!$B$14:$AU$589,29,0)</f>
        <v>6000</v>
      </c>
      <c r="L23" s="483">
        <f>VLOOKUP($B23,DATA!$B$14:$AU$589,30,0)</f>
        <v>5910</v>
      </c>
      <c r="M23" s="483">
        <f t="shared" si="4"/>
        <v>2955</v>
      </c>
      <c r="N23" s="497">
        <v>50</v>
      </c>
      <c r="O23" s="497"/>
      <c r="P23" s="497">
        <f>VLOOKUP($B23,DATA!$B$14:$AU$589,33,0)</f>
        <v>0</v>
      </c>
    </row>
    <row r="24" spans="1:240" ht="31.5">
      <c r="A24" s="484">
        <v>3</v>
      </c>
      <c r="B24" s="498" t="s">
        <v>1293</v>
      </c>
      <c r="C24" s="497" t="str">
        <f>VLOOKUP($B24,DATA!$B$14:$AU$589,6,0)</f>
        <v>Quảng Bình</v>
      </c>
      <c r="D24" s="497">
        <f>VLOOKUP($B24,DATA!$B$14:$AU$589,7,0)</f>
        <v>2018</v>
      </c>
      <c r="E24" s="497">
        <f>VLOOKUP($B24,DATA!$B$14:$AU$589,9,0)</f>
        <v>2024</v>
      </c>
      <c r="F24" s="497" t="str">
        <f>VLOOKUP($B24,DATA!$B$14:$AU$589,12,0)</f>
        <v>3590/QĐ-UBND ngày 25/10/2018</v>
      </c>
      <c r="G24" s="483">
        <f>VLOOKUP($B24,DATA!$B$14:$AU$589,13,0)</f>
        <v>40710</v>
      </c>
      <c r="H24" s="483">
        <f>VLOOKUP($B24,DATA!$B$14:$AU$589,15,0)</f>
        <v>40710</v>
      </c>
      <c r="I24" s="483">
        <f>VLOOKUP($B24,DATA!$B$14:$AU$589,26,0)</f>
        <v>0</v>
      </c>
      <c r="J24" s="483">
        <f>VLOOKUP($B24,DATA!$B$14:$AU$589,28,0)</f>
        <v>0</v>
      </c>
      <c r="K24" s="483">
        <f>VLOOKUP($B24,DATA!$B$14:$AU$589,29,0)</f>
        <v>10000</v>
      </c>
      <c r="L24" s="483">
        <f>VLOOKUP($B24,DATA!$B$14:$AU$589,30,0)</f>
        <v>10000</v>
      </c>
      <c r="M24" s="483">
        <f t="shared" si="4"/>
        <v>5000</v>
      </c>
      <c r="N24" s="497">
        <v>50</v>
      </c>
      <c r="O24" s="497"/>
      <c r="P24" s="497">
        <f>VLOOKUP($B24,DATA!$B$14:$AU$589,33,0)</f>
        <v>0</v>
      </c>
    </row>
    <row r="25" spans="1:240" s="49" customFormat="1" ht="31.9" customHeight="1">
      <c r="A25" s="732" t="s">
        <v>477</v>
      </c>
      <c r="B25" s="733" t="s">
        <v>1630</v>
      </c>
      <c r="C25" s="732"/>
      <c r="D25" s="732"/>
      <c r="E25" s="732"/>
      <c r="F25" s="732"/>
      <c r="G25" s="729"/>
      <c r="H25" s="729"/>
      <c r="I25" s="729"/>
      <c r="J25" s="729"/>
      <c r="K25" s="729"/>
      <c r="L25" s="729"/>
      <c r="M25" s="729">
        <v>10000</v>
      </c>
      <c r="N25" s="729"/>
      <c r="O25" s="729" t="s">
        <v>653</v>
      </c>
      <c r="P25" s="729" t="s">
        <v>653</v>
      </c>
    </row>
  </sheetData>
  <sortState ref="A10:IF20">
    <sortCondition ref="E10:E20"/>
  </sortState>
  <mergeCells count="20">
    <mergeCell ref="A4:A7"/>
    <mergeCell ref="B4:B7"/>
    <mergeCell ref="C4:C7"/>
    <mergeCell ref="D4:D7"/>
    <mergeCell ref="E4:E7"/>
    <mergeCell ref="M4:M7"/>
    <mergeCell ref="N4:N7"/>
    <mergeCell ref="P4:P7"/>
    <mergeCell ref="F5:F7"/>
    <mergeCell ref="G5:H5"/>
    <mergeCell ref="G6:G7"/>
    <mergeCell ref="H6:H7"/>
    <mergeCell ref="I6:I7"/>
    <mergeCell ref="F4:H4"/>
    <mergeCell ref="J6:J7"/>
    <mergeCell ref="K6:K7"/>
    <mergeCell ref="L6:L7"/>
    <mergeCell ref="I4:J5"/>
    <mergeCell ref="K4:L5"/>
    <mergeCell ref="O4:O7"/>
  </mergeCells>
  <printOptions horizontalCentered="1"/>
  <pageMargins left="0.7" right="0.7" top="0.75" bottom="0.75" header="0.3" footer="0.3"/>
  <pageSetup paperSize="9" scale="60" fitToHeight="0" orientation="landscape"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P19"/>
  <sheetViews>
    <sheetView zoomScale="70" zoomScaleNormal="70" zoomScalePageLayoutView="70" workbookViewId="0">
      <selection activeCell="M9" sqref="M9"/>
    </sheetView>
  </sheetViews>
  <sheetFormatPr defaultColWidth="9" defaultRowHeight="15.75"/>
  <cols>
    <col min="1" max="1" width="5.625" style="49" customWidth="1"/>
    <col min="2" max="2" width="55.625" style="50" customWidth="1"/>
    <col min="3" max="3" width="12.625" style="50" customWidth="1"/>
    <col min="4" max="4" width="8.625" style="51" customWidth="1"/>
    <col min="5" max="5" width="8.625" style="52" customWidth="1"/>
    <col min="6" max="6" width="16.625" style="50" customWidth="1"/>
    <col min="7" max="13" width="10.625" style="49" customWidth="1"/>
    <col min="14" max="14" width="5.625" style="49" customWidth="1"/>
    <col min="15" max="15" width="16.625" style="50" customWidth="1"/>
    <col min="16" max="16" width="16.625" style="50" hidden="1" customWidth="1"/>
    <col min="17" max="17" width="10.25" style="49" customWidth="1"/>
    <col min="18" max="16384" width="9" style="49"/>
  </cols>
  <sheetData>
    <row r="1" spans="1:16">
      <c r="A1" s="59" t="s">
        <v>675</v>
      </c>
      <c r="B1" s="59"/>
      <c r="C1" s="59"/>
      <c r="D1" s="59"/>
      <c r="E1" s="59"/>
      <c r="F1" s="59"/>
      <c r="G1" s="59"/>
      <c r="H1" s="59"/>
      <c r="I1" s="59"/>
      <c r="J1" s="59"/>
      <c r="K1" s="59"/>
      <c r="L1" s="59"/>
      <c r="M1" s="59"/>
      <c r="N1" s="59"/>
      <c r="O1" s="59"/>
      <c r="P1" s="59"/>
    </row>
    <row r="2" spans="1:16">
      <c r="A2" s="49" t="s">
        <v>1589</v>
      </c>
      <c r="C2" s="73"/>
      <c r="F2" s="73"/>
      <c r="M2" s="50"/>
      <c r="N2" s="74"/>
      <c r="O2" s="49"/>
      <c r="P2" s="49"/>
    </row>
    <row r="3" spans="1:16" s="87" customFormat="1">
      <c r="B3" s="88"/>
      <c r="C3" s="89"/>
      <c r="D3" s="90"/>
      <c r="E3" s="91"/>
      <c r="F3" s="89"/>
      <c r="M3" s="88"/>
      <c r="N3" s="92"/>
      <c r="O3" s="93" t="s">
        <v>650</v>
      </c>
      <c r="P3" s="93"/>
    </row>
    <row r="4" spans="1:16" s="8" customFormat="1">
      <c r="A4" s="1771" t="s">
        <v>469</v>
      </c>
      <c r="B4" s="1777" t="s">
        <v>1</v>
      </c>
      <c r="C4" s="1774" t="s">
        <v>651</v>
      </c>
      <c r="D4" s="1778" t="s">
        <v>341</v>
      </c>
      <c r="E4" s="1779" t="s">
        <v>165</v>
      </c>
      <c r="F4" s="1772" t="s">
        <v>3</v>
      </c>
      <c r="G4" s="1772"/>
      <c r="H4" s="1773"/>
      <c r="I4" s="1767" t="s">
        <v>788</v>
      </c>
      <c r="J4" s="1767"/>
      <c r="K4" s="1771" t="s">
        <v>611</v>
      </c>
      <c r="L4" s="1771"/>
      <c r="M4" s="1764" t="s">
        <v>790</v>
      </c>
      <c r="N4" s="1764" t="s">
        <v>628</v>
      </c>
      <c r="O4" s="1767" t="s">
        <v>4</v>
      </c>
      <c r="P4" s="1767" t="s">
        <v>4</v>
      </c>
    </row>
    <row r="5" spans="1:16" s="8" customFormat="1">
      <c r="A5" s="1771"/>
      <c r="B5" s="1777"/>
      <c r="C5" s="1775"/>
      <c r="D5" s="1778"/>
      <c r="E5" s="1779"/>
      <c r="F5" s="1774" t="s">
        <v>613</v>
      </c>
      <c r="G5" s="1767" t="s">
        <v>6</v>
      </c>
      <c r="H5" s="1767"/>
      <c r="I5" s="1767"/>
      <c r="J5" s="1767"/>
      <c r="K5" s="1771"/>
      <c r="L5" s="1771"/>
      <c r="M5" s="1765"/>
      <c r="N5" s="1765"/>
      <c r="O5" s="1767"/>
      <c r="P5" s="1767"/>
    </row>
    <row r="6" spans="1:16" s="8" customFormat="1">
      <c r="A6" s="1771"/>
      <c r="B6" s="1777"/>
      <c r="C6" s="1775"/>
      <c r="D6" s="1778"/>
      <c r="E6" s="1779"/>
      <c r="F6" s="1775"/>
      <c r="G6" s="1764" t="s">
        <v>8</v>
      </c>
      <c r="H6" s="1769" t="s">
        <v>615</v>
      </c>
      <c r="I6" s="1767" t="s">
        <v>8</v>
      </c>
      <c r="J6" s="1769" t="s">
        <v>615</v>
      </c>
      <c r="K6" s="1764" t="s">
        <v>8</v>
      </c>
      <c r="L6" s="1764" t="s">
        <v>789</v>
      </c>
      <c r="M6" s="1765"/>
      <c r="N6" s="1765"/>
      <c r="O6" s="1767"/>
      <c r="P6" s="1767"/>
    </row>
    <row r="7" spans="1:16" s="8" customFormat="1">
      <c r="A7" s="1771"/>
      <c r="B7" s="1777"/>
      <c r="C7" s="1776"/>
      <c r="D7" s="1778"/>
      <c r="E7" s="1779"/>
      <c r="F7" s="1776"/>
      <c r="G7" s="1766"/>
      <c r="H7" s="1770"/>
      <c r="I7" s="1767"/>
      <c r="J7" s="1770"/>
      <c r="K7" s="1766"/>
      <c r="L7" s="1766"/>
      <c r="M7" s="1766"/>
      <c r="N7" s="1766"/>
      <c r="O7" s="1768"/>
      <c r="P7" s="1768"/>
    </row>
    <row r="8" spans="1:16" s="8" customFormat="1" ht="33.6" customHeight="1">
      <c r="A8" s="19"/>
      <c r="B8" s="721" t="s">
        <v>470</v>
      </c>
      <c r="C8" s="719"/>
      <c r="D8" s="21"/>
      <c r="E8" s="21"/>
      <c r="F8" s="556"/>
      <c r="G8" s="38">
        <f t="shared" ref="G8:L8" si="0">SUBTOTAL(109,G10:G12)</f>
        <v>27750</v>
      </c>
      <c r="H8" s="38">
        <f t="shared" si="0"/>
        <v>27750</v>
      </c>
      <c r="I8" s="38">
        <f t="shared" si="0"/>
        <v>10371</v>
      </c>
      <c r="J8" s="38">
        <f t="shared" si="0"/>
        <v>10371</v>
      </c>
      <c r="K8" s="38">
        <f t="shared" si="0"/>
        <v>24975</v>
      </c>
      <c r="L8" s="38">
        <f t="shared" si="0"/>
        <v>14864</v>
      </c>
      <c r="M8" s="38">
        <f>SUBTOTAL(109,M10:M12)</f>
        <v>3930</v>
      </c>
      <c r="N8" s="557"/>
      <c r="O8" s="53"/>
      <c r="P8" s="53"/>
    </row>
    <row r="9" spans="1:16" ht="33.6" customHeight="1">
      <c r="A9" s="732" t="s">
        <v>471</v>
      </c>
      <c r="B9" s="733" t="s">
        <v>1625</v>
      </c>
      <c r="C9" s="732"/>
      <c r="D9" s="732"/>
      <c r="E9" s="732"/>
      <c r="F9" s="732"/>
      <c r="G9" s="729">
        <f t="shared" ref="G9:L9" si="1">SUBTOTAL(109,G10:G12)</f>
        <v>27750</v>
      </c>
      <c r="H9" s="729">
        <f t="shared" si="1"/>
        <v>27750</v>
      </c>
      <c r="I9" s="729">
        <f t="shared" si="1"/>
        <v>10371</v>
      </c>
      <c r="J9" s="729">
        <f t="shared" si="1"/>
        <v>10371</v>
      </c>
      <c r="K9" s="729">
        <f t="shared" si="1"/>
        <v>24975</v>
      </c>
      <c r="L9" s="729">
        <f t="shared" si="1"/>
        <v>14864</v>
      </c>
      <c r="M9" s="729">
        <f>SUBTOTAL(109,M10:M12)</f>
        <v>3930</v>
      </c>
      <c r="N9" s="729"/>
      <c r="O9" s="729"/>
      <c r="P9" s="729"/>
    </row>
    <row r="10" spans="1:16" ht="33.6" customHeight="1">
      <c r="A10" s="10">
        <v>1</v>
      </c>
      <c r="B10" s="54" t="s">
        <v>393</v>
      </c>
      <c r="C10" s="497" t="str">
        <f>VLOOKUP($B10,DATA!$B$14:$AU$589,6,0)</f>
        <v>Bố Trạch</v>
      </c>
      <c r="D10" s="497">
        <f>VLOOKUP($B10,DATA!$B$14:$AU$589,7,0)</f>
        <v>2017</v>
      </c>
      <c r="E10" s="497" t="str">
        <f>VLOOKUP($B10,DATA!$B$14:$AU$589,9,0)</f>
        <v>2019</v>
      </c>
      <c r="F10" s="497" t="str">
        <f>VLOOKUP($B10,DATA!$B$14:$AU$589,12,0)</f>
        <v>3525/QĐ-UBND ngày 31/10/2016</v>
      </c>
      <c r="G10" s="483">
        <f>VLOOKUP($B10,DATA!$B$14:$AU$589,13,0)</f>
        <v>7671</v>
      </c>
      <c r="H10" s="483">
        <f>VLOOKUP($B10,DATA!$B$14:$AU$589,15,0)</f>
        <v>7671</v>
      </c>
      <c r="I10" s="483">
        <f>VLOOKUP($B10,DATA!$B$14:$AU$589,26,0)</f>
        <v>4830</v>
      </c>
      <c r="J10" s="483">
        <f>VLOOKUP($B10,DATA!$B$14:$AU$589,28,0)</f>
        <v>4830</v>
      </c>
      <c r="K10" s="483">
        <f>VLOOKUP($B10,DATA!$B$14:$AU$589,29,0)</f>
        <v>6904</v>
      </c>
      <c r="L10" s="483">
        <f>VLOOKUP($B10,DATA!$B$14:$AU$589,30,0)</f>
        <v>2214</v>
      </c>
      <c r="M10" s="515">
        <f>L10*N10/100</f>
        <v>2214</v>
      </c>
      <c r="N10" s="497">
        <v>100</v>
      </c>
      <c r="O10" s="497"/>
      <c r="P10" s="497">
        <f>VLOOKUP($B10,DATA!$B$14:$AU$589,33,0)</f>
        <v>0</v>
      </c>
    </row>
    <row r="11" spans="1:16" ht="33.6" customHeight="1">
      <c r="A11" s="10">
        <v>2</v>
      </c>
      <c r="B11" s="56" t="s">
        <v>396</v>
      </c>
      <c r="C11" s="497" t="str">
        <f>VLOOKUP($B11,DATA!$B$14:$AU$589,6,0)</f>
        <v>Bố Trạch</v>
      </c>
      <c r="D11" s="497">
        <f>VLOOKUP($B11,DATA!$B$14:$AU$589,7,0)</f>
        <v>2018</v>
      </c>
      <c r="E11" s="497" t="str">
        <f>VLOOKUP($B11,DATA!$B$14:$AU$589,9,0)</f>
        <v>2020</v>
      </c>
      <c r="F11" s="497" t="str">
        <f>VLOOKUP($B11,DATA!$B$14:$AU$589,12,0)</f>
        <v>3853/QĐ-UBND ngày 30/10/2017</v>
      </c>
      <c r="G11" s="483">
        <f>VLOOKUP($B11,DATA!$B$14:$AU$589,13,0)</f>
        <v>9079</v>
      </c>
      <c r="H11" s="483">
        <f>VLOOKUP($B11,DATA!$B$14:$AU$589,15,0)</f>
        <v>9079</v>
      </c>
      <c r="I11" s="483">
        <f>VLOOKUP($B11,DATA!$B$14:$AU$589,26,0)</f>
        <v>2511</v>
      </c>
      <c r="J11" s="483">
        <f>VLOOKUP($B11,DATA!$B$14:$AU$589,28,0)</f>
        <v>2511</v>
      </c>
      <c r="K11" s="483">
        <f>VLOOKUP($B11,DATA!$B$14:$AU$589,29,0)</f>
        <v>8171</v>
      </c>
      <c r="L11" s="483">
        <f>VLOOKUP($B11,DATA!$B$14:$AU$589,30,0)</f>
        <v>5720</v>
      </c>
      <c r="M11" s="515">
        <f t="shared" ref="M11:M12" si="2">L11*N11/100</f>
        <v>1716</v>
      </c>
      <c r="N11" s="497">
        <v>30</v>
      </c>
      <c r="O11" s="497" t="s">
        <v>2124</v>
      </c>
      <c r="P11" s="497">
        <f>VLOOKUP($B11,DATA!$B$14:$AU$589,33,0)</f>
        <v>0</v>
      </c>
    </row>
    <row r="12" spans="1:16" ht="47.25">
      <c r="A12" s="10">
        <v>3</v>
      </c>
      <c r="B12" s="56" t="s">
        <v>397</v>
      </c>
      <c r="C12" s="497" t="str">
        <f>VLOOKUP($B12,DATA!$B$14:$AU$589,6,0)</f>
        <v>Bố Trạch</v>
      </c>
      <c r="D12" s="497">
        <f>VLOOKUP($B12,DATA!$B$14:$AU$589,7,0)</f>
        <v>2018</v>
      </c>
      <c r="E12" s="497" t="str">
        <f>VLOOKUP($B12,DATA!$B$14:$AU$589,9,0)</f>
        <v>2020</v>
      </c>
      <c r="F12" s="497" t="str">
        <f>VLOOKUP($B12,DATA!$B$14:$AU$589,12,0)</f>
        <v>3852/QĐ-UBND ngày 30/10/2017</v>
      </c>
      <c r="G12" s="483">
        <f>VLOOKUP($B12,DATA!$B$14:$AU$589,13,0)</f>
        <v>11000</v>
      </c>
      <c r="H12" s="483">
        <f>VLOOKUP($B12,DATA!$B$14:$AU$589,15,0)</f>
        <v>11000</v>
      </c>
      <c r="I12" s="483">
        <f>VLOOKUP($B12,DATA!$B$14:$AU$589,26,0)</f>
        <v>3030</v>
      </c>
      <c r="J12" s="483">
        <f>VLOOKUP($B12,DATA!$B$14:$AU$589,28,0)</f>
        <v>3030</v>
      </c>
      <c r="K12" s="483">
        <f>VLOOKUP($B12,DATA!$B$14:$AU$589,29,0)</f>
        <v>9900</v>
      </c>
      <c r="L12" s="483">
        <f>VLOOKUP($B12,DATA!$B$14:$AU$589,30,0)</f>
        <v>6930</v>
      </c>
      <c r="M12" s="515">
        <f t="shared" si="2"/>
        <v>0</v>
      </c>
      <c r="N12" s="497">
        <v>0</v>
      </c>
      <c r="O12" s="497" t="s">
        <v>1824</v>
      </c>
      <c r="P12" s="497">
        <f>VLOOKUP($B12,DATA!$B$14:$AU$589,33,0)</f>
        <v>0</v>
      </c>
    </row>
    <row r="14" spans="1:16">
      <c r="O14" s="57"/>
      <c r="P14" s="57"/>
    </row>
    <row r="15" spans="1:16">
      <c r="O15" s="57"/>
      <c r="P15" s="57"/>
    </row>
    <row r="16" spans="1:16">
      <c r="O16" s="57"/>
      <c r="P16" s="57"/>
    </row>
    <row r="19" spans="10:11">
      <c r="J19" s="58"/>
      <c r="K19" s="58"/>
    </row>
  </sheetData>
  <mergeCells count="20">
    <mergeCell ref="P4:P7"/>
    <mergeCell ref="M4:M7"/>
    <mergeCell ref="H6:H7"/>
    <mergeCell ref="J6:J7"/>
    <mergeCell ref="E4:E7"/>
    <mergeCell ref="F4:H4"/>
    <mergeCell ref="I4:J5"/>
    <mergeCell ref="F5:F7"/>
    <mergeCell ref="G5:H5"/>
    <mergeCell ref="G6:G7"/>
    <mergeCell ref="K4:L5"/>
    <mergeCell ref="K6:K7"/>
    <mergeCell ref="L6:L7"/>
    <mergeCell ref="N4:N7"/>
    <mergeCell ref="I6:I7"/>
    <mergeCell ref="O4:O7"/>
    <mergeCell ref="A4:A7"/>
    <mergeCell ref="B4:B7"/>
    <mergeCell ref="C4:C7"/>
    <mergeCell ref="D4:D7"/>
  </mergeCells>
  <printOptions horizontalCentered="1"/>
  <pageMargins left="0.7" right="0.7" top="0.75" bottom="0.75" header="0.3" footer="0.3"/>
  <pageSetup paperSize="9" scale="60" fitToHeight="0" orientation="landscape"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P10"/>
  <sheetViews>
    <sheetView zoomScale="70" zoomScaleNormal="70" zoomScalePageLayoutView="60" workbookViewId="0">
      <selection activeCell="K23" sqref="K23"/>
    </sheetView>
  </sheetViews>
  <sheetFormatPr defaultColWidth="9" defaultRowHeight="15.75"/>
  <cols>
    <col min="1" max="1" width="5.625" style="49" customWidth="1"/>
    <col min="2" max="2" width="55.625" style="50" customWidth="1"/>
    <col min="3" max="3" width="12.625" style="50" customWidth="1"/>
    <col min="4" max="4" width="8.625" style="51" customWidth="1"/>
    <col min="5" max="5" width="8.625" style="52" customWidth="1"/>
    <col min="6" max="6" width="16.625" style="50" customWidth="1"/>
    <col min="7" max="13" width="10.625" style="49" customWidth="1"/>
    <col min="14" max="14" width="5.625" style="49" customWidth="1"/>
    <col min="15" max="15" width="16.625" style="49" customWidth="1"/>
    <col min="16" max="16" width="16.625" style="49" hidden="1" customWidth="1"/>
    <col min="17" max="16384" width="9" style="49"/>
  </cols>
  <sheetData>
    <row r="1" spans="1:16" s="31" customFormat="1">
      <c r="A1" s="31" t="s">
        <v>674</v>
      </c>
      <c r="B1" s="82"/>
      <c r="C1" s="82"/>
      <c r="D1" s="84"/>
      <c r="E1" s="85"/>
      <c r="F1" s="82"/>
    </row>
    <row r="2" spans="1:16">
      <c r="A2" s="49" t="s">
        <v>1589</v>
      </c>
      <c r="C2" s="73"/>
      <c r="D2" s="94"/>
      <c r="E2" s="95"/>
      <c r="F2" s="73"/>
      <c r="M2" s="50"/>
      <c r="N2" s="74"/>
    </row>
    <row r="3" spans="1:16" s="87" customFormat="1">
      <c r="B3" s="88"/>
      <c r="C3" s="89"/>
      <c r="D3" s="96"/>
      <c r="E3" s="97"/>
      <c r="F3" s="89"/>
      <c r="M3" s="88"/>
      <c r="N3" s="92"/>
      <c r="O3" s="93" t="s">
        <v>650</v>
      </c>
      <c r="P3" s="93"/>
    </row>
    <row r="4" spans="1:16" s="8" customFormat="1">
      <c r="A4" s="1771" t="s">
        <v>469</v>
      </c>
      <c r="B4" s="1777" t="s">
        <v>1</v>
      </c>
      <c r="C4" s="1774" t="s">
        <v>651</v>
      </c>
      <c r="D4" s="1778" t="s">
        <v>341</v>
      </c>
      <c r="E4" s="1779" t="s">
        <v>165</v>
      </c>
      <c r="F4" s="1772" t="s">
        <v>3</v>
      </c>
      <c r="G4" s="1772"/>
      <c r="H4" s="1773"/>
      <c r="I4" s="1767" t="s">
        <v>788</v>
      </c>
      <c r="J4" s="1767"/>
      <c r="K4" s="1771" t="s">
        <v>611</v>
      </c>
      <c r="L4" s="1771"/>
      <c r="M4" s="1764" t="s">
        <v>790</v>
      </c>
      <c r="N4" s="1764" t="s">
        <v>628</v>
      </c>
      <c r="O4" s="1767" t="s">
        <v>4</v>
      </c>
      <c r="P4" s="1767" t="s">
        <v>4</v>
      </c>
    </row>
    <row r="5" spans="1:16" s="8" customFormat="1">
      <c r="A5" s="1771"/>
      <c r="B5" s="1777"/>
      <c r="C5" s="1775"/>
      <c r="D5" s="1778"/>
      <c r="E5" s="1779"/>
      <c r="F5" s="1774" t="s">
        <v>613</v>
      </c>
      <c r="G5" s="1767" t="s">
        <v>6</v>
      </c>
      <c r="H5" s="1767"/>
      <c r="I5" s="1767"/>
      <c r="J5" s="1767"/>
      <c r="K5" s="1771"/>
      <c r="L5" s="1771"/>
      <c r="M5" s="1765"/>
      <c r="N5" s="1765"/>
      <c r="O5" s="1767"/>
      <c r="P5" s="1767"/>
    </row>
    <row r="6" spans="1:16" s="8" customFormat="1">
      <c r="A6" s="1771"/>
      <c r="B6" s="1777"/>
      <c r="C6" s="1775"/>
      <c r="D6" s="1778"/>
      <c r="E6" s="1779"/>
      <c r="F6" s="1775"/>
      <c r="G6" s="1764" t="s">
        <v>8</v>
      </c>
      <c r="H6" s="1769" t="s">
        <v>615</v>
      </c>
      <c r="I6" s="1767" t="s">
        <v>8</v>
      </c>
      <c r="J6" s="1769" t="s">
        <v>615</v>
      </c>
      <c r="K6" s="1764" t="s">
        <v>8</v>
      </c>
      <c r="L6" s="1764" t="s">
        <v>789</v>
      </c>
      <c r="M6" s="1765"/>
      <c r="N6" s="1765"/>
      <c r="O6" s="1767"/>
      <c r="P6" s="1767"/>
    </row>
    <row r="7" spans="1:16" s="8" customFormat="1">
      <c r="A7" s="1771"/>
      <c r="B7" s="1777"/>
      <c r="C7" s="1776"/>
      <c r="D7" s="1778"/>
      <c r="E7" s="1779"/>
      <c r="F7" s="1776"/>
      <c r="G7" s="1766"/>
      <c r="H7" s="1770"/>
      <c r="I7" s="1767"/>
      <c r="J7" s="1770"/>
      <c r="K7" s="1766"/>
      <c r="L7" s="1766"/>
      <c r="M7" s="1766"/>
      <c r="N7" s="1766"/>
      <c r="O7" s="1768"/>
      <c r="P7" s="1768"/>
    </row>
    <row r="8" spans="1:16" s="8" customFormat="1" ht="31.15" customHeight="1">
      <c r="A8" s="2"/>
      <c r="B8" s="721" t="s">
        <v>476</v>
      </c>
      <c r="C8" s="2"/>
      <c r="D8" s="2"/>
      <c r="E8" s="2"/>
      <c r="F8" s="2"/>
      <c r="G8" s="112">
        <f t="shared" ref="G8:M8" si="0">SUBTOTAL(9,G10:G200)</f>
        <v>17702</v>
      </c>
      <c r="H8" s="112">
        <f t="shared" si="0"/>
        <v>17702</v>
      </c>
      <c r="I8" s="112">
        <f t="shared" si="0"/>
        <v>8932</v>
      </c>
      <c r="J8" s="112">
        <f t="shared" si="0"/>
        <v>8932</v>
      </c>
      <c r="K8" s="112">
        <f t="shared" si="0"/>
        <v>15932</v>
      </c>
      <c r="L8" s="112">
        <f t="shared" si="0"/>
        <v>7000</v>
      </c>
      <c r="M8" s="112">
        <f t="shared" si="0"/>
        <v>7000</v>
      </c>
      <c r="N8" s="112"/>
      <c r="O8" s="719"/>
      <c r="P8" s="719"/>
    </row>
    <row r="9" spans="1:16" ht="31.15" customHeight="1">
      <c r="A9" s="732" t="s">
        <v>471</v>
      </c>
      <c r="B9" s="733" t="s">
        <v>1625</v>
      </c>
      <c r="C9" s="732"/>
      <c r="D9" s="732"/>
      <c r="E9" s="732"/>
      <c r="F9" s="732"/>
      <c r="G9" s="739">
        <f>SUBTOTAL(109,G10:G12)</f>
        <v>17702</v>
      </c>
      <c r="H9" s="739">
        <f t="shared" ref="H9:M9" si="1">SUBTOTAL(109,H10:H12)</f>
        <v>17702</v>
      </c>
      <c r="I9" s="739">
        <f t="shared" si="1"/>
        <v>8932</v>
      </c>
      <c r="J9" s="739">
        <f t="shared" si="1"/>
        <v>8932</v>
      </c>
      <c r="K9" s="739">
        <f t="shared" si="1"/>
        <v>15932</v>
      </c>
      <c r="L9" s="739">
        <f t="shared" si="1"/>
        <v>7000</v>
      </c>
      <c r="M9" s="739">
        <f t="shared" si="1"/>
        <v>7000</v>
      </c>
      <c r="N9" s="729"/>
      <c r="O9" s="729"/>
      <c r="P9" s="729"/>
    </row>
    <row r="10" spans="1:16" ht="31.15" customHeight="1">
      <c r="A10" s="10">
        <v>1</v>
      </c>
      <c r="B10" s="54" t="s">
        <v>646</v>
      </c>
      <c r="C10" s="497" t="str">
        <f>VLOOKUP($B10,DATA!$B$14:$AU$589,6,0)</f>
        <v>Quảng Bình</v>
      </c>
      <c r="D10" s="497" t="str">
        <f>VLOOKUP($B10,DATA!$B$14:$AU$589,7,0)</f>
        <v/>
      </c>
      <c r="E10" s="497" t="str">
        <f>VLOOKUP($B10,DATA!$B$14:$AU$589,9,0)</f>
        <v/>
      </c>
      <c r="F10" s="497">
        <f>VLOOKUP($B10,DATA!$B$14:$AU$589,12,0)</f>
        <v>0</v>
      </c>
      <c r="G10" s="522">
        <f>VLOOKUP($B10,DATA!$B$14:$AU$589,13,0)</f>
        <v>17702</v>
      </c>
      <c r="H10" s="522">
        <f>VLOOKUP($B10,DATA!$B$14:$AU$589,15,0)</f>
        <v>17702</v>
      </c>
      <c r="I10" s="522">
        <f>VLOOKUP($B10,DATA!$B$14:$AU$589,26,0)</f>
        <v>8932</v>
      </c>
      <c r="J10" s="522">
        <f>VLOOKUP($B10,DATA!$B$14:$AU$589,28,0)</f>
        <v>8932</v>
      </c>
      <c r="K10" s="522">
        <f>VLOOKUP($B10,DATA!$B$14:$AU$589,29,0)</f>
        <v>15932</v>
      </c>
      <c r="L10" s="522">
        <f>VLOOKUP($B10,DATA!$B$14:$AU$589,30,0)</f>
        <v>7000</v>
      </c>
      <c r="M10" s="522">
        <f>L10*N10/100</f>
        <v>7000</v>
      </c>
      <c r="N10" s="497">
        <v>100</v>
      </c>
      <c r="O10" s="497"/>
      <c r="P10" s="497">
        <f>VLOOKUP($B10,DATA!$B$14:$AU$589,33,0)</f>
        <v>0</v>
      </c>
    </row>
  </sheetData>
  <mergeCells count="20">
    <mergeCell ref="A4:A7"/>
    <mergeCell ref="B4:B7"/>
    <mergeCell ref="C4:C7"/>
    <mergeCell ref="D4:D7"/>
    <mergeCell ref="M4:M7"/>
    <mergeCell ref="I6:I7"/>
    <mergeCell ref="E4:E7"/>
    <mergeCell ref="H6:H7"/>
    <mergeCell ref="K4:L5"/>
    <mergeCell ref="K6:K7"/>
    <mergeCell ref="L6:L7"/>
    <mergeCell ref="F4:H4"/>
    <mergeCell ref="I4:J5"/>
    <mergeCell ref="F5:F7"/>
    <mergeCell ref="G5:H5"/>
    <mergeCell ref="G6:G7"/>
    <mergeCell ref="J6:J7"/>
    <mergeCell ref="P4:P7"/>
    <mergeCell ref="N4:N7"/>
    <mergeCell ref="O4:O7"/>
  </mergeCells>
  <printOptions horizontalCentered="1"/>
  <pageMargins left="0.7" right="0.7" top="0.75" bottom="0.75" header="0.3" footer="0.3"/>
  <pageSetup paperSize="9" scale="6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9"/>
  <sheetViews>
    <sheetView view="pageBreakPreview" topLeftCell="A7" zoomScale="55" zoomScaleNormal="70" zoomScaleSheetLayoutView="55" zoomScalePageLayoutView="70" workbookViewId="0">
      <selection activeCell="M17" sqref="M17"/>
    </sheetView>
  </sheetViews>
  <sheetFormatPr defaultColWidth="9" defaultRowHeight="15.75"/>
  <cols>
    <col min="1" max="1" width="5.625" style="49" customWidth="1"/>
    <col min="2" max="2" width="55.625" style="50" customWidth="1"/>
    <col min="3" max="3" width="12.625" style="50" customWidth="1"/>
    <col min="4" max="4" width="8.625" style="51" customWidth="1"/>
    <col min="5" max="5" width="8.625" style="52" customWidth="1"/>
    <col min="6" max="6" width="16.625" style="50" customWidth="1"/>
    <col min="7" max="7" width="11.375" style="49" customWidth="1"/>
    <col min="8" max="13" width="10.625" style="49" customWidth="1"/>
    <col min="14" max="14" width="7" style="49" customWidth="1"/>
    <col min="15" max="15" width="20.5" style="49" customWidth="1"/>
    <col min="16" max="16" width="20.5" style="49" hidden="1" customWidth="1"/>
    <col min="17" max="16384" width="9" style="49"/>
  </cols>
  <sheetData>
    <row r="1" spans="1:18" s="31" customFormat="1">
      <c r="A1" s="31" t="s">
        <v>673</v>
      </c>
      <c r="B1" s="82"/>
      <c r="C1" s="82"/>
      <c r="D1" s="84"/>
      <c r="E1" s="85"/>
      <c r="F1" s="82"/>
    </row>
    <row r="2" spans="1:18">
      <c r="A2" s="49" t="s">
        <v>1589</v>
      </c>
      <c r="C2" s="73"/>
      <c r="D2" s="94"/>
      <c r="E2" s="95"/>
      <c r="F2" s="73"/>
      <c r="M2" s="50"/>
      <c r="N2" s="74"/>
    </row>
    <row r="3" spans="1:18" s="87" customFormat="1">
      <c r="B3" s="88"/>
      <c r="C3" s="89"/>
      <c r="D3" s="96"/>
      <c r="E3" s="97"/>
      <c r="F3" s="89"/>
      <c r="M3" s="88"/>
      <c r="N3" s="92"/>
      <c r="O3" s="93" t="s">
        <v>650</v>
      </c>
      <c r="P3" s="93" t="s">
        <v>650</v>
      </c>
    </row>
    <row r="4" spans="1:18" s="8" customFormat="1">
      <c r="A4" s="1780" t="s">
        <v>469</v>
      </c>
      <c r="B4" s="1781" t="s">
        <v>1</v>
      </c>
      <c r="C4" s="1780" t="s">
        <v>651</v>
      </c>
      <c r="D4" s="1784" t="s">
        <v>341</v>
      </c>
      <c r="E4" s="1785" t="s">
        <v>165</v>
      </c>
      <c r="F4" s="1780" t="s">
        <v>3</v>
      </c>
      <c r="G4" s="1780"/>
      <c r="H4" s="1780"/>
      <c r="I4" s="1783" t="s">
        <v>788</v>
      </c>
      <c r="J4" s="1783"/>
      <c r="K4" s="1780" t="s">
        <v>611</v>
      </c>
      <c r="L4" s="1780"/>
      <c r="M4" s="1782" t="s">
        <v>790</v>
      </c>
      <c r="N4" s="1782" t="s">
        <v>628</v>
      </c>
      <c r="O4" s="1783" t="s">
        <v>4</v>
      </c>
      <c r="P4" s="1767" t="s">
        <v>4</v>
      </c>
    </row>
    <row r="5" spans="1:18" s="8" customFormat="1">
      <c r="A5" s="1780"/>
      <c r="B5" s="1781"/>
      <c r="C5" s="1780"/>
      <c r="D5" s="1784"/>
      <c r="E5" s="1785"/>
      <c r="F5" s="1780" t="s">
        <v>613</v>
      </c>
      <c r="G5" s="1783" t="s">
        <v>6</v>
      </c>
      <c r="H5" s="1783"/>
      <c r="I5" s="1783"/>
      <c r="J5" s="1783"/>
      <c r="K5" s="1780"/>
      <c r="L5" s="1780"/>
      <c r="M5" s="1782"/>
      <c r="N5" s="1782"/>
      <c r="O5" s="1783"/>
      <c r="P5" s="1767"/>
    </row>
    <row r="6" spans="1:18" s="8" customFormat="1">
      <c r="A6" s="1780"/>
      <c r="B6" s="1781"/>
      <c r="C6" s="1780"/>
      <c r="D6" s="1784"/>
      <c r="E6" s="1785"/>
      <c r="F6" s="1780"/>
      <c r="G6" s="1782" t="s">
        <v>8</v>
      </c>
      <c r="H6" s="1783" t="s">
        <v>615</v>
      </c>
      <c r="I6" s="1783" t="s">
        <v>8</v>
      </c>
      <c r="J6" s="1783" t="s">
        <v>615</v>
      </c>
      <c r="K6" s="1782" t="s">
        <v>8</v>
      </c>
      <c r="L6" s="1782" t="s">
        <v>789</v>
      </c>
      <c r="M6" s="1782"/>
      <c r="N6" s="1782"/>
      <c r="O6" s="1783"/>
      <c r="P6" s="1767"/>
    </row>
    <row r="7" spans="1:18" s="8" customFormat="1">
      <c r="A7" s="1780"/>
      <c r="B7" s="1781"/>
      <c r="C7" s="1780"/>
      <c r="D7" s="1784"/>
      <c r="E7" s="1785"/>
      <c r="F7" s="1780"/>
      <c r="G7" s="1782"/>
      <c r="H7" s="1783"/>
      <c r="I7" s="1783"/>
      <c r="J7" s="1783"/>
      <c r="K7" s="1782"/>
      <c r="L7" s="1782"/>
      <c r="M7" s="1782"/>
      <c r="N7" s="1782"/>
      <c r="O7" s="1786"/>
      <c r="P7" s="1768"/>
    </row>
    <row r="8" spans="1:18" s="8" customFormat="1" ht="33" customHeight="1">
      <c r="A8" s="724"/>
      <c r="B8" s="725" t="s">
        <v>470</v>
      </c>
      <c r="C8" s="724"/>
      <c r="D8" s="727"/>
      <c r="E8" s="728"/>
      <c r="F8" s="725"/>
      <c r="G8" s="660">
        <f>SUBTOTAL(109,G9:G200)</f>
        <v>1218068</v>
      </c>
      <c r="H8" s="660">
        <f t="shared" ref="H8:L8" si="0">SUBTOTAL(109,H9:H200)</f>
        <v>496164</v>
      </c>
      <c r="I8" s="660">
        <f t="shared" si="0"/>
        <v>485858</v>
      </c>
      <c r="J8" s="660">
        <f t="shared" si="0"/>
        <v>196510</v>
      </c>
      <c r="K8" s="660">
        <f t="shared" si="0"/>
        <v>470153</v>
      </c>
      <c r="L8" s="660">
        <f t="shared" si="0"/>
        <v>309553</v>
      </c>
      <c r="M8" s="660">
        <f>SUBTOTAL(109,M9:M200)</f>
        <v>148974</v>
      </c>
      <c r="N8" s="660"/>
      <c r="O8" s="661"/>
      <c r="P8" s="555"/>
    </row>
    <row r="9" spans="1:18" s="31" customFormat="1" ht="33" customHeight="1">
      <c r="A9" s="732" t="s">
        <v>471</v>
      </c>
      <c r="B9" s="733" t="s">
        <v>1625</v>
      </c>
      <c r="C9" s="732"/>
      <c r="D9" s="732"/>
      <c r="E9" s="732"/>
      <c r="F9" s="732"/>
      <c r="G9" s="729">
        <f>SUBTOTAL(109,G10:G13)</f>
        <v>794364</v>
      </c>
      <c r="H9" s="729">
        <f t="shared" ref="H9:L9" si="1">SUBTOTAL(109,H10:H13)</f>
        <v>299364</v>
      </c>
      <c r="I9" s="729">
        <f t="shared" si="1"/>
        <v>445858</v>
      </c>
      <c r="J9" s="729">
        <f t="shared" si="1"/>
        <v>156510</v>
      </c>
      <c r="K9" s="729">
        <f t="shared" si="1"/>
        <v>233518</v>
      </c>
      <c r="L9" s="729">
        <f t="shared" si="1"/>
        <v>112918</v>
      </c>
      <c r="M9" s="729">
        <f>SUBTOTAL(109,M10:M13)</f>
        <v>56459</v>
      </c>
      <c r="N9" s="729"/>
      <c r="O9" s="729"/>
      <c r="P9" s="729"/>
    </row>
    <row r="10" spans="1:18" ht="94.5">
      <c r="A10" s="484">
        <v>1</v>
      </c>
      <c r="B10" s="498" t="s">
        <v>88</v>
      </c>
      <c r="C10" s="497" t="str">
        <f>VLOOKUP($B10,DATA!$B$14:$AU$589,6,0)</f>
        <v>Đồng Hới</v>
      </c>
      <c r="D10" s="497">
        <f>VLOOKUP($B10,DATA!$B$14:$AU$589,7,0)</f>
        <v>2013</v>
      </c>
      <c r="E10" s="497">
        <f>VLOOKUP($B10,DATA!$B$14:$AU$589,9,0)</f>
        <v>2019</v>
      </c>
      <c r="F10" s="497" t="str">
        <f>VLOOKUP($B10,DATA!$B$14:$AU$589,12,0)</f>
        <v>2429/QĐ-UBND ngày 04/10/2013; 3419/QĐ-UBND 26/11/2014; 3490/QĐ-UBND 04/12/2015</v>
      </c>
      <c r="G10" s="483">
        <f>VLOOKUP($B10,DATA!$B$14:$AU$589,13,0)</f>
        <v>391940</v>
      </c>
      <c r="H10" s="483">
        <f>VLOOKUP($B10,DATA!$B$14:$AU$589,15,0)</f>
        <v>126940</v>
      </c>
      <c r="I10" s="483">
        <f>VLOOKUP($B10,DATA!$B$14:$AU$589,26,0)</f>
        <v>226858</v>
      </c>
      <c r="J10" s="483">
        <f>VLOOKUP($B10,DATA!$B$14:$AU$589,28,0)</f>
        <v>91510</v>
      </c>
      <c r="K10" s="483">
        <f>VLOOKUP($B10,DATA!$B$14:$AU$589,29,0)</f>
        <v>78336</v>
      </c>
      <c r="L10" s="483">
        <f>VLOOKUP($B10,DATA!$B$14:$AU$589,30,0)</f>
        <v>22736</v>
      </c>
      <c r="M10" s="483">
        <f>L10*N10/100</f>
        <v>11368</v>
      </c>
      <c r="N10" s="497">
        <v>50</v>
      </c>
      <c r="O10" s="497" t="s">
        <v>2118</v>
      </c>
      <c r="P10" s="497" t="str">
        <f>VLOOKUP($B10,DATA!$B$14:$AU$589,33,0)</f>
        <v>Sửa lại tổng số bố trí</v>
      </c>
    </row>
    <row r="11" spans="1:18" ht="33" customHeight="1">
      <c r="A11" s="484">
        <v>2</v>
      </c>
      <c r="B11" s="498" t="s">
        <v>86</v>
      </c>
      <c r="C11" s="497" t="str">
        <f>VLOOKUP($B11,DATA!$B$14:$AU$589,6,0)</f>
        <v>Đồng Hới</v>
      </c>
      <c r="D11" s="497">
        <f>VLOOKUP($B11,DATA!$B$14:$AU$589,7,0)</f>
        <v>2015</v>
      </c>
      <c r="E11" s="497">
        <f>VLOOKUP($B11,DATA!$B$14:$AU$589,9,0)</f>
        <v>2019</v>
      </c>
      <c r="F11" s="497" t="str">
        <f>VLOOKUP($B11,DATA!$B$14:$AU$589,12,0)</f>
        <v>3120/QĐ-UBND ngày 31/10/2014</v>
      </c>
      <c r="G11" s="483">
        <f>VLOOKUP($B11,DATA!$B$14:$AU$589,13,0)</f>
        <v>220272</v>
      </c>
      <c r="H11" s="483">
        <f>VLOOKUP($B11,DATA!$B$14:$AU$589,15,0)</f>
        <v>100272</v>
      </c>
      <c r="I11" s="483">
        <f>VLOOKUP($B11,DATA!$B$14:$AU$589,26,0)</f>
        <v>90000</v>
      </c>
      <c r="J11" s="483">
        <f>VLOOKUP($B11,DATA!$B$14:$AU$589,28,0)</f>
        <v>35000</v>
      </c>
      <c r="K11" s="483">
        <f>VLOOKUP($B11,DATA!$B$14:$AU$589,29,0)</f>
        <v>90245</v>
      </c>
      <c r="L11" s="483">
        <f>VLOOKUP($B11,DATA!$B$14:$AU$589,30,0)</f>
        <v>55245</v>
      </c>
      <c r="M11" s="483">
        <f t="shared" ref="M11:M16" si="2">L11*N11/100</f>
        <v>27622.5</v>
      </c>
      <c r="N11" s="497">
        <v>50</v>
      </c>
      <c r="O11" s="497" t="s">
        <v>2120</v>
      </c>
      <c r="P11" s="497">
        <f>VLOOKUP($B11,DATA!$B$14:$AU$589,33,0)</f>
        <v>0</v>
      </c>
    </row>
    <row r="12" spans="1:18" ht="63">
      <c r="A12" s="484">
        <v>3</v>
      </c>
      <c r="B12" s="508" t="s">
        <v>90</v>
      </c>
      <c r="C12" s="497" t="str">
        <f>VLOOKUP($B12,DATA!$B$14:$AU$589,6,0)</f>
        <v>Quảng Trạch</v>
      </c>
      <c r="D12" s="497">
        <f>VLOOKUP($B12,DATA!$B$14:$AU$589,7,0)</f>
        <v>2015</v>
      </c>
      <c r="E12" s="497">
        <f>VLOOKUP($B12,DATA!$B$14:$AU$589,9,0)</f>
        <v>2019</v>
      </c>
      <c r="F12" s="497" t="str">
        <f>VLOOKUP($B12,DATA!$B$14:$AU$589,12,0)</f>
        <v>3044/QĐ-UBND
ngày 28/10/2014; 3400/QĐ-UBND ngày 25/11/2014</v>
      </c>
      <c r="G12" s="483">
        <f>VLOOKUP($B12,DATA!$B$14:$AU$589,13,0)</f>
        <v>80874</v>
      </c>
      <c r="H12" s="483">
        <f>VLOOKUP($B12,DATA!$B$14:$AU$589,15,0)</f>
        <v>30874</v>
      </c>
      <c r="I12" s="483">
        <f>VLOOKUP($B12,DATA!$B$14:$AU$589,26,0)</f>
        <v>60000</v>
      </c>
      <c r="J12" s="483">
        <f>VLOOKUP($B12,DATA!$B$14:$AU$589,28,0)</f>
        <v>15000</v>
      </c>
      <c r="K12" s="483">
        <f>VLOOKUP($B12,DATA!$B$14:$AU$589,29,0)</f>
        <v>27787</v>
      </c>
      <c r="L12" s="483">
        <f>VLOOKUP($B12,DATA!$B$14:$AU$589,30,0)</f>
        <v>12787</v>
      </c>
      <c r="M12" s="483">
        <f t="shared" si="2"/>
        <v>6393.5</v>
      </c>
      <c r="N12" s="497">
        <v>50</v>
      </c>
      <c r="O12" s="497" t="s">
        <v>2119</v>
      </c>
      <c r="P12" s="497">
        <f>VLOOKUP($B12,DATA!$B$14:$AU$589,33,0)</f>
        <v>0</v>
      </c>
    </row>
    <row r="13" spans="1:18" ht="63">
      <c r="A13" s="484">
        <v>4</v>
      </c>
      <c r="B13" s="508" t="s">
        <v>92</v>
      </c>
      <c r="C13" s="497" t="str">
        <f>VLOOKUP($B13,DATA!$B$14:$AU$589,6,0)</f>
        <v>Quảng Trạch</v>
      </c>
      <c r="D13" s="497">
        <f>VLOOKUP($B13,DATA!$B$14:$AU$589,7,0)</f>
        <v>2015</v>
      </c>
      <c r="E13" s="497">
        <f>VLOOKUP($B13,DATA!$B$14:$AU$589,9,0)</f>
        <v>2019</v>
      </c>
      <c r="F13" s="497" t="str">
        <f>VLOOKUP($B13,DATA!$B$14:$AU$589,12,0)</f>
        <v>3043/QĐ-UBND
ngày 24/10/2014; 3401/QĐ-UBND ngày 25/11/2014</v>
      </c>
      <c r="G13" s="483">
        <f>VLOOKUP($B13,DATA!$B$14:$AU$589,13,0)</f>
        <v>101278</v>
      </c>
      <c r="H13" s="483">
        <f>VLOOKUP($B13,DATA!$B$14:$AU$589,15,0)</f>
        <v>41278</v>
      </c>
      <c r="I13" s="483">
        <f>VLOOKUP($B13,DATA!$B$14:$AU$589,26,0)</f>
        <v>69000</v>
      </c>
      <c r="J13" s="483">
        <f>VLOOKUP($B13,DATA!$B$14:$AU$589,28,0)</f>
        <v>15000</v>
      </c>
      <c r="K13" s="483">
        <f>VLOOKUP($B13,DATA!$B$14:$AU$589,29,0)</f>
        <v>37150</v>
      </c>
      <c r="L13" s="483">
        <f>VLOOKUP($B13,DATA!$B$14:$AU$589,30,0)</f>
        <v>22150</v>
      </c>
      <c r="M13" s="483">
        <f t="shared" si="2"/>
        <v>11075</v>
      </c>
      <c r="N13" s="497">
        <v>50</v>
      </c>
      <c r="O13" s="497" t="s">
        <v>2119</v>
      </c>
      <c r="P13" s="497">
        <f>VLOOKUP($B13,DATA!$B$14:$AU$589,33,0)</f>
        <v>0</v>
      </c>
    </row>
    <row r="14" spans="1:18" s="31" customFormat="1" ht="33" customHeight="1">
      <c r="A14" s="732" t="s">
        <v>472</v>
      </c>
      <c r="B14" s="733" t="s">
        <v>1626</v>
      </c>
      <c r="C14" s="732"/>
      <c r="D14" s="732"/>
      <c r="E14" s="732"/>
      <c r="F14" s="732"/>
      <c r="G14" s="729">
        <f>SUBTOTAL(109,G15:G16)</f>
        <v>256904</v>
      </c>
      <c r="H14" s="729">
        <f t="shared" ref="H14:L14" si="3">SUBTOTAL(109,H15:H16)</f>
        <v>30000</v>
      </c>
      <c r="I14" s="729">
        <f t="shared" si="3"/>
        <v>30000</v>
      </c>
      <c r="J14" s="729">
        <f t="shared" si="3"/>
        <v>30000</v>
      </c>
      <c r="K14" s="729">
        <f t="shared" si="3"/>
        <v>86515</v>
      </c>
      <c r="L14" s="729">
        <f t="shared" si="3"/>
        <v>56515</v>
      </c>
      <c r="M14" s="729">
        <f>SUBTOTAL(109,M15:M16)</f>
        <v>56515</v>
      </c>
      <c r="N14" s="729"/>
      <c r="O14" s="729"/>
      <c r="P14" s="729"/>
    </row>
    <row r="15" spans="1:18" ht="38.25" customHeight="1">
      <c r="A15" s="484">
        <v>1</v>
      </c>
      <c r="B15" s="508" t="s">
        <v>555</v>
      </c>
      <c r="C15" s="497" t="str">
        <f>VLOOKUP($B15,DATA!$B$14:$AU$589,6,0)</f>
        <v>Đồng Hới</v>
      </c>
      <c r="D15" s="497">
        <f>VLOOKUP($B15,DATA!$B$14:$AU$589,7,0)</f>
        <v>2016</v>
      </c>
      <c r="E15" s="497">
        <f>VLOOKUP($B15,DATA!$B$14:$AU$589,9,0)</f>
        <v>2018</v>
      </c>
      <c r="F15" s="497" t="str">
        <f>VLOOKUP($B15,DATA!$B$14:$AU$589,12,0)</f>
        <v>3463/QĐ-UBND ngày 28/10/2016</v>
      </c>
      <c r="G15" s="483">
        <f>VLOOKUP($B15,DATA!$B$14:$AU$589,13,0)</f>
        <v>106904</v>
      </c>
      <c r="H15" s="483">
        <f>VLOOKUP($B15,DATA!$B$14:$AU$589,15,0)</f>
        <v>15000</v>
      </c>
      <c r="I15" s="483">
        <f>VLOOKUP($B15,DATA!$B$14:$AU$589,26,0)</f>
        <v>15000</v>
      </c>
      <c r="J15" s="483">
        <f>VLOOKUP($B15,DATA!$B$14:$AU$589,28,0)</f>
        <v>15000</v>
      </c>
      <c r="K15" s="483">
        <f>VLOOKUP($B15,DATA!$B$14:$AU$589,29,0)</f>
        <v>43000</v>
      </c>
      <c r="L15" s="483">
        <f>VLOOKUP($B15,DATA!$B$14:$AU$589,30,0)</f>
        <v>28000</v>
      </c>
      <c r="M15" s="483">
        <f t="shared" si="2"/>
        <v>28000</v>
      </c>
      <c r="N15" s="497">
        <v>100</v>
      </c>
      <c r="O15" s="497" t="s">
        <v>1808</v>
      </c>
      <c r="P15" s="497">
        <f>VLOOKUP($B15,DATA!$B$14:$AU$589,33,0)</f>
        <v>0</v>
      </c>
    </row>
    <row r="16" spans="1:18" ht="38.25" customHeight="1">
      <c r="A16" s="484">
        <v>2</v>
      </c>
      <c r="B16" s="508" t="s">
        <v>726</v>
      </c>
      <c r="C16" s="497" t="str">
        <f>VLOOKUP($B16,DATA!$B$14:$AU$589,6,0)</f>
        <v>Đồng Hới</v>
      </c>
      <c r="D16" s="497">
        <f>VLOOKUP($B16,DATA!$B$14:$AU$589,7,0)</f>
        <v>2016</v>
      </c>
      <c r="E16" s="497">
        <f>VLOOKUP($B16,DATA!$B$14:$AU$589,9,0)</f>
        <v>2018</v>
      </c>
      <c r="F16" s="497" t="str">
        <f>VLOOKUP($B16,DATA!$B$14:$AU$589,12,0)</f>
        <v>3464/QĐ-UBND ngày 28/10/2016</v>
      </c>
      <c r="G16" s="483">
        <f>VLOOKUP($B16,DATA!$B$14:$AU$589,13,0)</f>
        <v>150000</v>
      </c>
      <c r="H16" s="483">
        <f>VLOOKUP($B16,DATA!$B$14:$AU$589,15,0)</f>
        <v>15000</v>
      </c>
      <c r="I16" s="483">
        <f>VLOOKUP($B16,DATA!$B$14:$AU$589,26,0)</f>
        <v>15000</v>
      </c>
      <c r="J16" s="483">
        <f>VLOOKUP($B16,DATA!$B$14:$AU$589,28,0)</f>
        <v>15000</v>
      </c>
      <c r="K16" s="483">
        <f>VLOOKUP($B16,DATA!$B$14:$AU$589,29,0)</f>
        <v>43515</v>
      </c>
      <c r="L16" s="483">
        <f>VLOOKUP($B16,DATA!$B$14:$AU$589,30,0)</f>
        <v>28515</v>
      </c>
      <c r="M16" s="483">
        <f t="shared" si="2"/>
        <v>28515</v>
      </c>
      <c r="N16" s="497">
        <v>100</v>
      </c>
      <c r="O16" s="497" t="s">
        <v>1807</v>
      </c>
      <c r="P16" s="497">
        <f>VLOOKUP($B16,DATA!$B$14:$AU$589,33,0)</f>
        <v>0</v>
      </c>
      <c r="R16" s="58"/>
    </row>
    <row r="17" spans="1:16" s="662" customFormat="1" ht="33.6" customHeight="1">
      <c r="A17" s="732" t="s">
        <v>477</v>
      </c>
      <c r="B17" s="733" t="s">
        <v>1627</v>
      </c>
      <c r="C17" s="732"/>
      <c r="D17" s="732"/>
      <c r="E17" s="732"/>
      <c r="F17" s="732"/>
      <c r="G17" s="729">
        <f t="shared" ref="G17" si="4">SUBTOTAL(109, G18:G19)</f>
        <v>166800</v>
      </c>
      <c r="H17" s="729">
        <f t="shared" ref="H17" si="5">SUBTOTAL(109, H18:H19)</f>
        <v>166800</v>
      </c>
      <c r="I17" s="729">
        <f t="shared" ref="I17" si="6">SUBTOTAL(109, I18:I19)</f>
        <v>10000</v>
      </c>
      <c r="J17" s="729">
        <f t="shared" ref="J17" si="7">SUBTOTAL(109, J18:J19)</f>
        <v>10000</v>
      </c>
      <c r="K17" s="729">
        <f t="shared" ref="K17" si="8">SUBTOTAL(109, K18:K19)</f>
        <v>150120</v>
      </c>
      <c r="L17" s="729">
        <f t="shared" ref="L17" si="9">SUBTOTAL(109, L18:L19)</f>
        <v>140120</v>
      </c>
      <c r="M17" s="729">
        <f>SUBTOTAL(109, M18:M19)</f>
        <v>36000</v>
      </c>
      <c r="N17" s="729"/>
      <c r="O17" s="729">
        <f>SUBTOTAL(109, O18:O25)</f>
        <v>0</v>
      </c>
      <c r="P17" s="729"/>
    </row>
    <row r="18" spans="1:16" ht="36.75" customHeight="1">
      <c r="A18" s="484">
        <v>1</v>
      </c>
      <c r="B18" s="508" t="s">
        <v>1248</v>
      </c>
      <c r="C18" s="497" t="str">
        <f>VLOOKUP($B18,DATA!$B$14:$AU$589,6,0)</f>
        <v>Đồng Hới</v>
      </c>
      <c r="D18" s="497">
        <f>VLOOKUP($B18,DATA!$B$14:$AU$589,7,0)</f>
        <v>2019</v>
      </c>
      <c r="E18" s="497">
        <f>VLOOKUP($B18,DATA!$B$14:$AU$589,9,0)</f>
        <v>2020</v>
      </c>
      <c r="F18" s="497" t="str">
        <f>VLOOKUP($B18,DATA!$B$14:$AU$589,12,0)</f>
        <v>128/HĐND-VP ngày 19/10/2018</v>
      </c>
      <c r="G18" s="483">
        <f>VLOOKUP($B18,DATA!$B$14:$AU$589,13,0)</f>
        <v>78800</v>
      </c>
      <c r="H18" s="483">
        <f>VLOOKUP($B18,DATA!$B$14:$AU$589,15,0)</f>
        <v>78800</v>
      </c>
      <c r="I18" s="483">
        <f>VLOOKUP($B18,DATA!$B$14:$AU$589,26,0)</f>
        <v>3000</v>
      </c>
      <c r="J18" s="483">
        <f>VLOOKUP($B18,DATA!$B$14:$AU$589,28,0)</f>
        <v>3000</v>
      </c>
      <c r="K18" s="483">
        <f>VLOOKUP($B18,DATA!$B$14:$AU$589,29,0)</f>
        <v>70920</v>
      </c>
      <c r="L18" s="483">
        <f>VLOOKUP($B18,DATA!$B$14:$AU$589,30,0)</f>
        <v>67920</v>
      </c>
      <c r="M18" s="483">
        <v>18000</v>
      </c>
      <c r="N18" s="526">
        <f>M18*100/L18</f>
        <v>26.501766784452297</v>
      </c>
      <c r="O18" s="497" t="s">
        <v>1836</v>
      </c>
      <c r="P18" s="1789" t="str">
        <f>VLOOKUP($B18,DATA!$B$14:$AU$589,33,0)</f>
        <v>Thay thế Dự án Quần thể tượng đài Chủ tịch Hồ Chí Minh (TT HĐND tỉnh thống nhất tại Văn bản số 41/HĐND-VP ngày 24/5/2018). Sở XD dự kiến năm 2019-2020  thu khoảng 70% tổng số tiền của dự án Nhà ở thương mại Nam Cầu Dài (0,7x240 tỷ đồng = 168 tỷ đồng)</v>
      </c>
    </row>
    <row r="19" spans="1:16" ht="39" customHeight="1">
      <c r="A19" s="484">
        <v>2</v>
      </c>
      <c r="B19" s="508" t="s">
        <v>1249</v>
      </c>
      <c r="C19" s="497" t="str">
        <f>VLOOKUP($B19,DATA!$B$14:$AU$589,6,0)</f>
        <v>Đồng Hới</v>
      </c>
      <c r="D19" s="497">
        <f>VLOOKUP($B19,DATA!$B$14:$AU$589,7,0)</f>
        <v>2019</v>
      </c>
      <c r="E19" s="497">
        <f>VLOOKUP($B19,DATA!$B$14:$AU$589,9,0)</f>
        <v>2020</v>
      </c>
      <c r="F19" s="497" t="str">
        <f>VLOOKUP($B19,DATA!$B$14:$AU$589,12,0)</f>
        <v>29/HĐND-VP ngày 13/4/2018</v>
      </c>
      <c r="G19" s="483">
        <f>VLOOKUP($B19,DATA!$B$14:$AU$589,13,0)</f>
        <v>88000</v>
      </c>
      <c r="H19" s="483">
        <f>VLOOKUP($B19,DATA!$B$14:$AU$589,15,0)</f>
        <v>88000</v>
      </c>
      <c r="I19" s="483">
        <f>VLOOKUP($B19,DATA!$B$14:$AU$589,26,0)</f>
        <v>7000</v>
      </c>
      <c r="J19" s="483">
        <f>VLOOKUP($B19,DATA!$B$14:$AU$589,28,0)</f>
        <v>7000</v>
      </c>
      <c r="K19" s="483">
        <f>VLOOKUP($B19,DATA!$B$14:$AU$589,29,0)</f>
        <v>79200</v>
      </c>
      <c r="L19" s="483">
        <f>VLOOKUP($B19,DATA!$B$14:$AU$589,30,0)</f>
        <v>72200</v>
      </c>
      <c r="M19" s="483">
        <v>18000</v>
      </c>
      <c r="N19" s="526">
        <f>M19*100/L19</f>
        <v>24.930747922437675</v>
      </c>
      <c r="O19" s="497" t="s">
        <v>1836</v>
      </c>
      <c r="P19" s="1790"/>
    </row>
  </sheetData>
  <mergeCells count="21">
    <mergeCell ref="P18:P19"/>
    <mergeCell ref="A4:A7"/>
    <mergeCell ref="B4:B7"/>
    <mergeCell ref="F5:F7"/>
    <mergeCell ref="G5:H5"/>
    <mergeCell ref="G6:G7"/>
    <mergeCell ref="C4:C7"/>
    <mergeCell ref="D4:D7"/>
    <mergeCell ref="E4:E7"/>
    <mergeCell ref="F4:H4"/>
    <mergeCell ref="H6:H7"/>
    <mergeCell ref="J6:J7"/>
    <mergeCell ref="I4:J5"/>
    <mergeCell ref="M4:M7"/>
    <mergeCell ref="P4:P7"/>
    <mergeCell ref="I6:I7"/>
    <mergeCell ref="O4:O7"/>
    <mergeCell ref="K4:L5"/>
    <mergeCell ref="K6:K7"/>
    <mergeCell ref="L6:L7"/>
    <mergeCell ref="N4:N7"/>
  </mergeCells>
  <printOptions horizontalCentered="1"/>
  <pageMargins left="0.7" right="0.7" top="0.75" bottom="0.75" header="0.3" footer="0.3"/>
  <pageSetup paperSize="9" scale="58" fitToHeight="0" orientation="landscape"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3"/>
  <sheetViews>
    <sheetView view="pageLayout" topLeftCell="A28" zoomScale="70" zoomScaleNormal="70" zoomScaleSheetLayoutView="70" zoomScalePageLayoutView="70" workbookViewId="0">
      <selection activeCell="H17" sqref="H17"/>
    </sheetView>
  </sheetViews>
  <sheetFormatPr defaultColWidth="9" defaultRowHeight="15.75"/>
  <cols>
    <col min="1" max="1" width="5.625" style="49" customWidth="1"/>
    <col min="2" max="2" width="53.625" style="50" customWidth="1"/>
    <col min="3" max="3" width="12.625" style="50" customWidth="1"/>
    <col min="4" max="5" width="12.625" style="50" hidden="1" customWidth="1"/>
    <col min="6" max="6" width="8.625" style="51" customWidth="1"/>
    <col min="7" max="7" width="8.625" style="52" customWidth="1"/>
    <col min="8" max="8" width="16.625" style="50" customWidth="1"/>
    <col min="9" max="9" width="12" style="49" customWidth="1"/>
    <col min="10" max="10" width="12.5" style="49" customWidth="1"/>
    <col min="11" max="11" width="11.125" style="49" customWidth="1"/>
    <col min="12" max="12" width="10.625" style="49" customWidth="1"/>
    <col min="13" max="13" width="12.375" style="49" customWidth="1"/>
    <col min="14" max="14" width="11.75" style="49" customWidth="1"/>
    <col min="15" max="15" width="10.625" style="49" customWidth="1"/>
    <col min="16" max="16" width="7.5" style="65" customWidth="1"/>
    <col min="17" max="17" width="22.75" style="49" customWidth="1"/>
    <col min="18" max="18" width="24.25" style="49" hidden="1" customWidth="1"/>
    <col min="19" max="16384" width="9" style="49"/>
  </cols>
  <sheetData>
    <row r="1" spans="1:18">
      <c r="A1" s="31" t="s">
        <v>2138</v>
      </c>
    </row>
    <row r="2" spans="1:18">
      <c r="A2" s="49" t="s">
        <v>1589</v>
      </c>
      <c r="C2" s="73"/>
      <c r="D2" s="73"/>
      <c r="E2" s="73"/>
      <c r="F2" s="94"/>
      <c r="G2" s="95"/>
      <c r="H2" s="73"/>
      <c r="O2" s="50"/>
      <c r="P2" s="74"/>
    </row>
    <row r="3" spans="1:18" s="87" customFormat="1">
      <c r="B3" s="88"/>
      <c r="C3" s="89"/>
      <c r="D3" s="89"/>
      <c r="E3" s="89"/>
      <c r="F3" s="96"/>
      <c r="G3" s="97"/>
      <c r="H3" s="89"/>
      <c r="O3" s="88"/>
      <c r="P3" s="92"/>
      <c r="Q3" s="93" t="s">
        <v>650</v>
      </c>
      <c r="R3" s="93"/>
    </row>
    <row r="4" spans="1:18" s="8" customFormat="1">
      <c r="A4" s="1780" t="s">
        <v>469</v>
      </c>
      <c r="B4" s="1781" t="s">
        <v>1</v>
      </c>
      <c r="C4" s="1780" t="s">
        <v>651</v>
      </c>
      <c r="D4" s="1787" t="s">
        <v>2060</v>
      </c>
      <c r="E4" s="1787" t="s">
        <v>5</v>
      </c>
      <c r="F4" s="1784" t="s">
        <v>341</v>
      </c>
      <c r="G4" s="1785" t="s">
        <v>165</v>
      </c>
      <c r="H4" s="1780" t="s">
        <v>3</v>
      </c>
      <c r="I4" s="1780"/>
      <c r="J4" s="1780"/>
      <c r="K4" s="1783" t="s">
        <v>788</v>
      </c>
      <c r="L4" s="1783"/>
      <c r="M4" s="1780" t="s">
        <v>611</v>
      </c>
      <c r="N4" s="1780"/>
      <c r="O4" s="1782" t="s">
        <v>790</v>
      </c>
      <c r="P4" s="1782" t="s">
        <v>628</v>
      </c>
      <c r="Q4" s="1783" t="s">
        <v>4</v>
      </c>
      <c r="R4" s="1791" t="s">
        <v>4</v>
      </c>
    </row>
    <row r="5" spans="1:18" s="8" customFormat="1">
      <c r="A5" s="1780"/>
      <c r="B5" s="1781"/>
      <c r="C5" s="1780"/>
      <c r="D5" s="1775"/>
      <c r="E5" s="1775"/>
      <c r="F5" s="1784"/>
      <c r="G5" s="1785"/>
      <c r="H5" s="1780" t="s">
        <v>613</v>
      </c>
      <c r="I5" s="1783" t="s">
        <v>6</v>
      </c>
      <c r="J5" s="1783"/>
      <c r="K5" s="1783"/>
      <c r="L5" s="1783"/>
      <c r="M5" s="1780"/>
      <c r="N5" s="1780"/>
      <c r="O5" s="1782"/>
      <c r="P5" s="1782"/>
      <c r="Q5" s="1783"/>
      <c r="R5" s="1792"/>
    </row>
    <row r="6" spans="1:18" s="8" customFormat="1">
      <c r="A6" s="1780"/>
      <c r="B6" s="1781"/>
      <c r="C6" s="1780"/>
      <c r="D6" s="1775"/>
      <c r="E6" s="1775"/>
      <c r="F6" s="1784"/>
      <c r="G6" s="1785"/>
      <c r="H6" s="1780"/>
      <c r="I6" s="1782" t="s">
        <v>8</v>
      </c>
      <c r="J6" s="1783" t="s">
        <v>615</v>
      </c>
      <c r="K6" s="1783" t="s">
        <v>8</v>
      </c>
      <c r="L6" s="1783" t="s">
        <v>615</v>
      </c>
      <c r="M6" s="1782" t="s">
        <v>8</v>
      </c>
      <c r="N6" s="1782" t="s">
        <v>789</v>
      </c>
      <c r="O6" s="1782"/>
      <c r="P6" s="1782"/>
      <c r="Q6" s="1783"/>
      <c r="R6" s="1792"/>
    </row>
    <row r="7" spans="1:18" s="8" customFormat="1">
      <c r="A7" s="1780"/>
      <c r="B7" s="1781"/>
      <c r="C7" s="1780"/>
      <c r="D7" s="1776"/>
      <c r="E7" s="1776"/>
      <c r="F7" s="1784"/>
      <c r="G7" s="1785"/>
      <c r="H7" s="1780"/>
      <c r="I7" s="1782"/>
      <c r="J7" s="1783"/>
      <c r="K7" s="1783"/>
      <c r="L7" s="1783"/>
      <c r="M7" s="1782"/>
      <c r="N7" s="1782"/>
      <c r="O7" s="1782"/>
      <c r="P7" s="1782"/>
      <c r="Q7" s="1786"/>
      <c r="R7" s="1770"/>
    </row>
    <row r="8" spans="1:18" s="8" customFormat="1" ht="33.6" customHeight="1">
      <c r="A8" s="497"/>
      <c r="B8" s="725" t="s">
        <v>470</v>
      </c>
      <c r="C8" s="497"/>
      <c r="D8" s="497"/>
      <c r="E8" s="497"/>
      <c r="F8" s="497"/>
      <c r="G8" s="497"/>
      <c r="H8" s="497"/>
      <c r="I8" s="697">
        <f t="shared" ref="I8:O8" si="0">SUBTOTAL(109,I9:I196)</f>
        <v>591008</v>
      </c>
      <c r="J8" s="697">
        <f t="shared" si="0"/>
        <v>273984</v>
      </c>
      <c r="K8" s="697">
        <f t="shared" si="0"/>
        <v>196024</v>
      </c>
      <c r="L8" s="697">
        <f t="shared" si="0"/>
        <v>170024</v>
      </c>
      <c r="M8" s="697">
        <f t="shared" si="0"/>
        <v>224330</v>
      </c>
      <c r="N8" s="697">
        <f t="shared" si="0"/>
        <v>133224</v>
      </c>
      <c r="O8" s="697">
        <f t="shared" si="0"/>
        <v>82778</v>
      </c>
      <c r="P8" s="698"/>
      <c r="Q8" s="697"/>
      <c r="R8" s="9"/>
    </row>
    <row r="9" spans="1:18" s="662" customFormat="1" ht="33.6" customHeight="1">
      <c r="A9" s="732" t="s">
        <v>471</v>
      </c>
      <c r="B9" s="733" t="s">
        <v>1625</v>
      </c>
      <c r="C9" s="732"/>
      <c r="D9" s="732"/>
      <c r="E9" s="732"/>
      <c r="F9" s="732"/>
      <c r="G9" s="732"/>
      <c r="H9" s="732"/>
      <c r="I9" s="729">
        <f t="shared" ref="I9:N9" si="1">SUBTOTAL(109,I10:I29)</f>
        <v>421646</v>
      </c>
      <c r="J9" s="729">
        <f t="shared" si="1"/>
        <v>204882</v>
      </c>
      <c r="K9" s="729">
        <f t="shared" si="1"/>
        <v>176824</v>
      </c>
      <c r="L9" s="729">
        <f t="shared" si="1"/>
        <v>156824</v>
      </c>
      <c r="M9" s="729">
        <f t="shared" si="1"/>
        <v>155228</v>
      </c>
      <c r="N9" s="729">
        <f t="shared" si="1"/>
        <v>77322</v>
      </c>
      <c r="O9" s="729">
        <f>SUBTOTAL(109,O10:O29)</f>
        <v>51868.5</v>
      </c>
      <c r="P9" s="729"/>
      <c r="Q9" s="729"/>
      <c r="R9" s="729"/>
    </row>
    <row r="10" spans="1:18" ht="47.25">
      <c r="A10" s="484">
        <v>1</v>
      </c>
      <c r="B10" s="491" t="s">
        <v>580</v>
      </c>
      <c r="C10" s="497" t="str">
        <f>VLOOKUP($B10,DATA!$B$14:$AU$589,6,0)</f>
        <v>Lào</v>
      </c>
      <c r="D10" s="497" t="str">
        <f>VLOOKUP($B10,DATA!$B$14:$AU$589,36,0)</f>
        <v>Lào</v>
      </c>
      <c r="E10" s="497" t="str">
        <f>VLOOKUP($B10,DATA!$B$14:$AU$589,37,0)</f>
        <v>Khác</v>
      </c>
      <c r="F10" s="497">
        <f>VLOOKUP($B10,DATA!$B$14:$AU$589,7,0)</f>
        <v>2018</v>
      </c>
      <c r="G10" s="497">
        <f>VLOOKUP($B10,DATA!$B$14:$AU$589,9,0)</f>
        <v>2019</v>
      </c>
      <c r="H10" s="497" t="str">
        <f>VLOOKUP($B10,DATA!$B$14:$AU$589,12,0)</f>
        <v>3957/QĐ-UBND ngày 30/10/2017</v>
      </c>
      <c r="I10" s="483">
        <f>VLOOKUP($B10,DATA!$B$14:$AU$589,13,0)</f>
        <v>4171</v>
      </c>
      <c r="J10" s="483">
        <f>VLOOKUP($B10,DATA!$B$14:$AU$589,15,0)</f>
        <v>4171</v>
      </c>
      <c r="K10" s="483">
        <f>VLOOKUP($B10,DATA!$B$14:$AU$589,26,0)</f>
        <v>3886</v>
      </c>
      <c r="L10" s="483">
        <f>VLOOKUP($B10,DATA!$B$14:$AU$589,28,0)</f>
        <v>3886</v>
      </c>
      <c r="M10" s="483">
        <f>VLOOKUP($B10,DATA!$B$14:$AU$589,29,0)</f>
        <v>4171</v>
      </c>
      <c r="N10" s="483">
        <f>VLOOKUP($B10,DATA!$B$14:$AU$589,30,0)</f>
        <v>285</v>
      </c>
      <c r="O10" s="483">
        <f t="shared" ref="O10:O29" si="2">N10*P10/100</f>
        <v>285</v>
      </c>
      <c r="P10" s="497">
        <v>100</v>
      </c>
      <c r="Q10" s="497"/>
      <c r="R10" s="497">
        <f>VLOOKUP($B10,DATA!$B$14:$AU$589,33,0)</f>
        <v>0</v>
      </c>
    </row>
    <row r="11" spans="1:18" ht="33.6" customHeight="1">
      <c r="A11" s="484">
        <v>2</v>
      </c>
      <c r="B11" s="503" t="s">
        <v>162</v>
      </c>
      <c r="C11" s="497" t="str">
        <f>VLOOKUP($B11,DATA!$B$14:$AU$589,6,0)</f>
        <v>Ba Đồn</v>
      </c>
      <c r="D11" s="497" t="str">
        <f>VLOOKUP($B11,DATA!$B$14:$AU$589,36,0)</f>
        <v>Quảng Văn</v>
      </c>
      <c r="E11" s="497" t="str">
        <f>VLOOKUP($B11,DATA!$B$14:$AU$589,37,0)</f>
        <v>GT</v>
      </c>
      <c r="F11" s="497">
        <f>VLOOKUP($B11,DATA!$B$14:$AU$589,7,0)</f>
        <v>2017</v>
      </c>
      <c r="G11" s="497">
        <f>VLOOKUP($B11,DATA!$B$14:$AU$589,9,0)</f>
        <v>2019</v>
      </c>
      <c r="H11" s="497" t="str">
        <f>VLOOKUP($B11,DATA!$B$14:$AU$589,12,0)</f>
        <v>3496/QĐ-UBND ngày 28/10/2016</v>
      </c>
      <c r="I11" s="483">
        <f>VLOOKUP($B11,DATA!$B$14:$AU$589,13,0)</f>
        <v>12177</v>
      </c>
      <c r="J11" s="483">
        <f>VLOOKUP($B11,DATA!$B$14:$AU$589,15,0)</f>
        <v>10924</v>
      </c>
      <c r="K11" s="483">
        <f>VLOOKUP($B11,DATA!$B$14:$AU$589,26,0)</f>
        <v>7916</v>
      </c>
      <c r="L11" s="483">
        <f>VLOOKUP($B11,DATA!$B$14:$AU$589,28,0)</f>
        <v>7916</v>
      </c>
      <c r="M11" s="483">
        <f>VLOOKUP($B11,DATA!$B$14:$AU$589,29,0)</f>
        <v>7832</v>
      </c>
      <c r="N11" s="483">
        <f>VLOOKUP($B11,DATA!$B$14:$AU$589,30,0)</f>
        <v>1916</v>
      </c>
      <c r="O11" s="483">
        <f t="shared" si="2"/>
        <v>1916</v>
      </c>
      <c r="P11" s="497">
        <v>100</v>
      </c>
      <c r="Q11" s="497"/>
      <c r="R11" s="497">
        <f>VLOOKUP($B11,DATA!$B$14:$AU$589,33,0)</f>
        <v>0</v>
      </c>
    </row>
    <row r="12" spans="1:18" ht="33.6" customHeight="1">
      <c r="A12" s="484">
        <v>3</v>
      </c>
      <c r="B12" s="509" t="s">
        <v>133</v>
      </c>
      <c r="C12" s="497" t="str">
        <f>VLOOKUP($B12,DATA!$B$14:$AU$589,6,0)</f>
        <v>Quảng Trạch</v>
      </c>
      <c r="D12" s="497" t="str">
        <f>VLOOKUP($B12,DATA!$B$14:$AU$589,36,0)</f>
        <v>Quảng Châu</v>
      </c>
      <c r="E12" s="497" t="str">
        <f>VLOOKUP($B12,DATA!$B$14:$AU$589,37,0)</f>
        <v>GT</v>
      </c>
      <c r="F12" s="497">
        <f>VLOOKUP($B12,DATA!$B$14:$AU$589,7,0)</f>
        <v>2017</v>
      </c>
      <c r="G12" s="497">
        <f>VLOOKUP($B12,DATA!$B$14:$AU$589,9,0)</f>
        <v>2019</v>
      </c>
      <c r="H12" s="497" t="str">
        <f>VLOOKUP($B12,DATA!$B$14:$AU$589,12,0)</f>
        <v>2304/QĐ-UBND ngày 02/10/2012</v>
      </c>
      <c r="I12" s="483">
        <f>VLOOKUP($B12,DATA!$B$14:$AU$589,13,0)</f>
        <v>5795</v>
      </c>
      <c r="J12" s="483">
        <f>VLOOKUP($B12,DATA!$B$14:$AU$589,15,0)</f>
        <v>5795</v>
      </c>
      <c r="K12" s="483">
        <f>VLOOKUP($B12,DATA!$B$14:$AU$589,26,0)</f>
        <v>2761</v>
      </c>
      <c r="L12" s="483">
        <f>VLOOKUP($B12,DATA!$B$14:$AU$589,28,0)</f>
        <v>2761</v>
      </c>
      <c r="M12" s="483">
        <f>VLOOKUP($B12,DATA!$B$14:$AU$589,29,0)</f>
        <v>5116</v>
      </c>
      <c r="N12" s="483">
        <f>VLOOKUP($B12,DATA!$B$14:$AU$589,30,0)</f>
        <v>2455</v>
      </c>
      <c r="O12" s="483">
        <f t="shared" si="2"/>
        <v>2455</v>
      </c>
      <c r="P12" s="497">
        <v>100</v>
      </c>
      <c r="Q12" s="497"/>
      <c r="R12" s="497">
        <f>VLOOKUP($B12,DATA!$B$14:$AU$589,33,0)</f>
        <v>0</v>
      </c>
    </row>
    <row r="13" spans="1:18" ht="33.6" customHeight="1">
      <c r="A13" s="484">
        <v>4</v>
      </c>
      <c r="B13" s="510" t="s">
        <v>506</v>
      </c>
      <c r="C13" s="497" t="str">
        <f>VLOOKUP($B13,DATA!$B$14:$AU$589,6,0)</f>
        <v>Ba Đồn</v>
      </c>
      <c r="D13" s="497" t="str">
        <f>VLOOKUP($B13,DATA!$B$14:$AU$589,36,0)</f>
        <v>Quảng Hòa</v>
      </c>
      <c r="E13" s="497" t="str">
        <f>VLOOKUP($B13,DATA!$B$14:$AU$589,37,0)</f>
        <v>GT</v>
      </c>
      <c r="F13" s="497">
        <f>VLOOKUP($B13,DATA!$B$14:$AU$589,7,0)</f>
        <v>2017</v>
      </c>
      <c r="G13" s="497">
        <f>VLOOKUP($B13,DATA!$B$14:$AU$589,9,0)</f>
        <v>2019</v>
      </c>
      <c r="H13" s="497" t="str">
        <f>VLOOKUP($B13,DATA!$B$14:$AU$589,12,0)</f>
        <v>3513/QĐ-UBND ngày 30/10/2016</v>
      </c>
      <c r="I13" s="483">
        <f>VLOOKUP($B13,DATA!$B$14:$AU$589,13,0)</f>
        <v>6100</v>
      </c>
      <c r="J13" s="483">
        <f>VLOOKUP($B13,DATA!$B$14:$AU$589,15,0)</f>
        <v>6100</v>
      </c>
      <c r="K13" s="483">
        <f>VLOOKUP($B13,DATA!$B$14:$AU$589,26,0)</f>
        <v>2995</v>
      </c>
      <c r="L13" s="483">
        <f>VLOOKUP($B13,DATA!$B$14:$AU$589,28,0)</f>
        <v>2995</v>
      </c>
      <c r="M13" s="483">
        <f>VLOOKUP($B13,DATA!$B$14:$AU$589,29,0)</f>
        <v>5490</v>
      </c>
      <c r="N13" s="483">
        <f>VLOOKUP($B13,DATA!$B$14:$AU$589,30,0)</f>
        <v>2495</v>
      </c>
      <c r="O13" s="483">
        <f t="shared" si="2"/>
        <v>2495</v>
      </c>
      <c r="P13" s="497">
        <v>100</v>
      </c>
      <c r="Q13" s="497"/>
      <c r="R13" s="497">
        <f>VLOOKUP($B13,DATA!$B$14:$AU$589,33,0)</f>
        <v>0</v>
      </c>
    </row>
    <row r="14" spans="1:18" ht="33.6" customHeight="1">
      <c r="A14" s="484">
        <v>5</v>
      </c>
      <c r="B14" s="503" t="s">
        <v>105</v>
      </c>
      <c r="C14" s="497" t="str">
        <f>VLOOKUP($B14,DATA!$B$14:$AU$589,6,0)</f>
        <v>Bố Trạch</v>
      </c>
      <c r="D14" s="497" t="str">
        <f>VLOOKUP($B14,DATA!$B$14:$AU$589,36,0)</f>
        <v>NT Việt Trung</v>
      </c>
      <c r="E14" s="497" t="str">
        <f>VLOOKUP($B14,DATA!$B$14:$AU$589,37,0)</f>
        <v>Khác</v>
      </c>
      <c r="F14" s="497">
        <f>VLOOKUP($B14,DATA!$B$14:$AU$589,7,0)</f>
        <v>2014</v>
      </c>
      <c r="G14" s="497">
        <f>VLOOKUP($B14,DATA!$B$14:$AU$589,9,0)</f>
        <v>2019</v>
      </c>
      <c r="H14" s="497" t="str">
        <f>VLOOKUP($B14,DATA!$B$14:$AU$589,12,0)</f>
        <v>1851/QĐ-UBND ngày 02/8/2013</v>
      </c>
      <c r="I14" s="483">
        <f>VLOOKUP($B14,DATA!$B$14:$AU$589,13,0)</f>
        <v>85119</v>
      </c>
      <c r="J14" s="483">
        <f>VLOOKUP($B14,DATA!$B$14:$AU$589,15,0)</f>
        <v>11400</v>
      </c>
      <c r="K14" s="483">
        <f>VLOOKUP($B14,DATA!$B$14:$AU$589,26,0)</f>
        <v>47450</v>
      </c>
      <c r="L14" s="483">
        <f>VLOOKUP($B14,DATA!$B$14:$AU$589,28,0)</f>
        <v>47450</v>
      </c>
      <c r="M14" s="483">
        <f>VLOOKUP($B14,DATA!$B$14:$AU$589,29,0)</f>
        <v>11400</v>
      </c>
      <c r="N14" s="483">
        <f>VLOOKUP($B14,DATA!$B$14:$AU$589,30,0)</f>
        <v>2950</v>
      </c>
      <c r="O14" s="483">
        <f t="shared" si="2"/>
        <v>2950</v>
      </c>
      <c r="P14" s="497">
        <v>100</v>
      </c>
      <c r="Q14" s="497"/>
      <c r="R14" s="497">
        <f>VLOOKUP($B14,DATA!$B$14:$AU$589,33,0)</f>
        <v>0</v>
      </c>
    </row>
    <row r="15" spans="1:18" ht="33.6" customHeight="1">
      <c r="A15" s="484">
        <v>6</v>
      </c>
      <c r="B15" s="510" t="s">
        <v>507</v>
      </c>
      <c r="C15" s="497" t="str">
        <f>VLOOKUP($B15,DATA!$B$14:$AU$589,6,0)</f>
        <v>Quảng Ninh</v>
      </c>
      <c r="D15" s="497" t="str">
        <f>VLOOKUP($B15,DATA!$B$14:$AU$589,36,0)</f>
        <v>Võ Ninh</v>
      </c>
      <c r="E15" s="497" t="str">
        <f>VLOOKUP($B15,DATA!$B$14:$AU$589,37,0)</f>
        <v>GT</v>
      </c>
      <c r="F15" s="497">
        <f>VLOOKUP($B15,DATA!$B$14:$AU$589,7,0)</f>
        <v>2017</v>
      </c>
      <c r="G15" s="497">
        <f>VLOOKUP($B15,DATA!$B$14:$AU$589,9,0)</f>
        <v>2019</v>
      </c>
      <c r="H15" s="497" t="str">
        <f>VLOOKUP($B15,DATA!$B$14:$AU$589,12,0)</f>
        <v>2884/QĐ-UBND ngày 28/9/2016</v>
      </c>
      <c r="I15" s="483">
        <f>VLOOKUP($B15,DATA!$B$14:$AU$589,13,0)</f>
        <v>12178</v>
      </c>
      <c r="J15" s="483">
        <f>VLOOKUP($B15,DATA!$B$14:$AU$589,15,0)</f>
        <v>8873</v>
      </c>
      <c r="K15" s="483">
        <f>VLOOKUP($B15,DATA!$B$14:$AU$589,26,0)</f>
        <v>4493</v>
      </c>
      <c r="L15" s="483">
        <f>VLOOKUP($B15,DATA!$B$14:$AU$589,28,0)</f>
        <v>4493</v>
      </c>
      <c r="M15" s="483">
        <f>VLOOKUP($B15,DATA!$B$14:$AU$589,29,0)</f>
        <v>7986</v>
      </c>
      <c r="N15" s="483">
        <f>VLOOKUP($B15,DATA!$B$14:$AU$589,30,0)</f>
        <v>3493</v>
      </c>
      <c r="O15" s="483">
        <f t="shared" si="2"/>
        <v>3493</v>
      </c>
      <c r="P15" s="497">
        <v>100</v>
      </c>
      <c r="Q15" s="497"/>
      <c r="R15" s="497">
        <f>VLOOKUP($B15,DATA!$B$14:$AU$589,33,0)</f>
        <v>0</v>
      </c>
    </row>
    <row r="16" spans="1:18" ht="33.6" customHeight="1">
      <c r="A16" s="484">
        <v>7</v>
      </c>
      <c r="B16" s="511" t="s">
        <v>509</v>
      </c>
      <c r="C16" s="497" t="str">
        <f>VLOOKUP($B16,DATA!$B$14:$AU$589,6,0)</f>
        <v>Quảng Ninh</v>
      </c>
      <c r="D16" s="497" t="str">
        <f>VLOOKUP($B16,DATA!$B$14:$AU$589,36,0)</f>
        <v>Hải Ninh</v>
      </c>
      <c r="E16" s="497" t="str">
        <f>VLOOKUP($B16,DATA!$B$14:$AU$589,37,0)</f>
        <v>NN-TL</v>
      </c>
      <c r="F16" s="497">
        <f>VLOOKUP($B16,DATA!$B$14:$AU$589,7,0)</f>
        <v>2017</v>
      </c>
      <c r="G16" s="497">
        <f>VLOOKUP($B16,DATA!$B$14:$AU$589,9,0)</f>
        <v>2019</v>
      </c>
      <c r="H16" s="497" t="str">
        <f>VLOOKUP($B16,DATA!$B$14:$AU$589,12,0)</f>
        <v>3806/QĐ-UBND ngày 30/11/2016</v>
      </c>
      <c r="I16" s="483">
        <f>VLOOKUP($B16,DATA!$B$14:$AU$589,13,0)</f>
        <v>8920</v>
      </c>
      <c r="J16" s="483">
        <f>VLOOKUP($B16,DATA!$B$14:$AU$589,15,0)</f>
        <v>8920</v>
      </c>
      <c r="K16" s="483">
        <f>VLOOKUP($B16,DATA!$B$14:$AU$589,26,0)</f>
        <v>4514</v>
      </c>
      <c r="L16" s="483">
        <f>VLOOKUP($B16,DATA!$B$14:$AU$589,28,0)</f>
        <v>4514</v>
      </c>
      <c r="M16" s="483">
        <f>VLOOKUP($B16,DATA!$B$14:$AU$589,29,0)</f>
        <v>8028</v>
      </c>
      <c r="N16" s="483">
        <f>VLOOKUP($B16,DATA!$B$14:$AU$589,30,0)</f>
        <v>3514</v>
      </c>
      <c r="O16" s="483">
        <f t="shared" si="2"/>
        <v>3514</v>
      </c>
      <c r="P16" s="497">
        <v>100</v>
      </c>
      <c r="Q16" s="497"/>
      <c r="R16" s="497">
        <f>VLOOKUP($B16,DATA!$B$14:$AU$589,33,0)</f>
        <v>0</v>
      </c>
    </row>
    <row r="17" spans="1:23" ht="33.6" customHeight="1">
      <c r="A17" s="484">
        <v>8</v>
      </c>
      <c r="B17" s="511" t="s">
        <v>128</v>
      </c>
      <c r="C17" s="497" t="str">
        <f>VLOOKUP($B17,DATA!$B$14:$AU$589,6,0)</f>
        <v>Ba Đồn</v>
      </c>
      <c r="D17" s="497" t="str">
        <f>VLOOKUP($B17,DATA!$B$14:$AU$589,36,0)</f>
        <v>Ba Đồn</v>
      </c>
      <c r="E17" s="497" t="str">
        <f>VLOOKUP($B17,DATA!$B$14:$AU$589,37,0)</f>
        <v>GT</v>
      </c>
      <c r="F17" s="497">
        <f>VLOOKUP($B17,DATA!$B$14:$AU$589,7,0)</f>
        <v>2017</v>
      </c>
      <c r="G17" s="497">
        <f>VLOOKUP($B17,DATA!$B$14:$AU$589,9,0)</f>
        <v>2019</v>
      </c>
      <c r="H17" s="497" t="str">
        <f>VLOOKUP($B17,DATA!$B$14:$AU$589,12,0)</f>
        <v>3002/QĐ-CT ngày 25/10/2014</v>
      </c>
      <c r="I17" s="483">
        <f>VLOOKUP($B17,DATA!$B$14:$AU$589,13,0)</f>
        <v>8675</v>
      </c>
      <c r="J17" s="483">
        <f>VLOOKUP($B17,DATA!$B$14:$AU$589,15,0)</f>
        <v>8675</v>
      </c>
      <c r="K17" s="483">
        <f>VLOOKUP($B17,DATA!$B$14:$AU$589,26,0)</f>
        <v>4122</v>
      </c>
      <c r="L17" s="483">
        <f>VLOOKUP($B17,DATA!$B$14:$AU$589,28,0)</f>
        <v>4122</v>
      </c>
      <c r="M17" s="483">
        <f>VLOOKUP($B17,DATA!$B$14:$AU$589,29,0)</f>
        <v>7808</v>
      </c>
      <c r="N17" s="483">
        <f>VLOOKUP($B17,DATA!$B$14:$AU$589,30,0)</f>
        <v>3686</v>
      </c>
      <c r="O17" s="483">
        <f t="shared" si="2"/>
        <v>3686</v>
      </c>
      <c r="P17" s="497">
        <v>100</v>
      </c>
      <c r="Q17" s="497"/>
      <c r="R17" s="497">
        <f>VLOOKUP($B17,DATA!$B$14:$AU$589,33,0)</f>
        <v>0</v>
      </c>
    </row>
    <row r="18" spans="1:23" ht="58.15" customHeight="1">
      <c r="A18" s="484">
        <v>9</v>
      </c>
      <c r="B18" s="503" t="s">
        <v>161</v>
      </c>
      <c r="C18" s="497" t="str">
        <f>VLOOKUP($B18,DATA!$B$14:$AU$589,6,0)</f>
        <v>Đồng Hới</v>
      </c>
      <c r="D18" s="497" t="str">
        <f>VLOOKUP($B18,DATA!$B$14:$AU$589,36,0)</f>
        <v>Đồng Phú</v>
      </c>
      <c r="E18" s="497" t="str">
        <f>VLOOKUP($B18,DATA!$B$14:$AU$589,37,0)</f>
        <v>GT</v>
      </c>
      <c r="F18" s="497">
        <f>VLOOKUP($B18,DATA!$B$14:$AU$589,7,0)</f>
        <v>2017</v>
      </c>
      <c r="G18" s="497">
        <f>VLOOKUP($B18,DATA!$B$14:$AU$589,9,0)</f>
        <v>2019</v>
      </c>
      <c r="H18" s="497" t="str">
        <f>VLOOKUP($B18,DATA!$B$14:$AU$589,12,0)</f>
        <v>3517/QĐ-UBND ngày 31/10/2016</v>
      </c>
      <c r="I18" s="483">
        <f>VLOOKUP($B18,DATA!$B$14:$AU$589,13,0)</f>
        <v>12203</v>
      </c>
      <c r="J18" s="483">
        <f>VLOOKUP($B18,DATA!$B$14:$AU$589,15,0)</f>
        <v>12203</v>
      </c>
      <c r="K18" s="483">
        <f>VLOOKUP($B18,DATA!$B$14:$AU$589,26,0)</f>
        <v>6962</v>
      </c>
      <c r="L18" s="483">
        <f>VLOOKUP($B18,DATA!$B$14:$AU$589,28,0)</f>
        <v>6962</v>
      </c>
      <c r="M18" s="483">
        <f>VLOOKUP($B18,DATA!$B$14:$AU$589,29,0)</f>
        <v>11160</v>
      </c>
      <c r="N18" s="483">
        <f>VLOOKUP($B18,DATA!$B$14:$AU$589,30,0)</f>
        <v>4198</v>
      </c>
      <c r="O18" s="483">
        <f t="shared" si="2"/>
        <v>4198</v>
      </c>
      <c r="P18" s="497">
        <v>100</v>
      </c>
      <c r="Q18" s="497"/>
      <c r="R18" s="497" t="str">
        <f>VLOOKUP($B18,DATA!$B$14:$AU$589,33,0)</f>
        <v xml:space="preserve"> KH ĐTC 2018-2020 là 10160trđ.  Năm 2017 điều chỉnh tăng 1,764 tỷ đồng từ nguồn dự án Nạo vét cửa sông Nhật Lệ nên số vốn gđ 2018-2020 giảm 1,764</v>
      </c>
    </row>
    <row r="19" spans="1:23" ht="64.5" customHeight="1">
      <c r="A19" s="484">
        <v>10</v>
      </c>
      <c r="B19" s="498" t="s">
        <v>113</v>
      </c>
      <c r="C19" s="497" t="str">
        <f>VLOOKUP($B19,DATA!$B$14:$AU$589,6,0)</f>
        <v>Quảng Bình</v>
      </c>
      <c r="D19" s="497" t="str">
        <f>VLOOKUP($B19,DATA!$B$14:$AU$589,36,0)</f>
        <v>Toàn Tỉnh</v>
      </c>
      <c r="E19" s="497" t="str">
        <f>VLOOKUP($B19,DATA!$B$14:$AU$589,37,0)</f>
        <v>Khác</v>
      </c>
      <c r="F19" s="497">
        <f>VLOOKUP($B19,DATA!$B$14:$AU$589,7,0)</f>
        <v>2015</v>
      </c>
      <c r="G19" s="497">
        <f>VLOOKUP($B19,DATA!$B$14:$AU$589,9,0)</f>
        <v>2020</v>
      </c>
      <c r="H19" s="497" t="str">
        <f>VLOOKUP($B19,DATA!$B$14:$AU$589,12,0)</f>
        <v>2908/QĐ-UBND ngày 16/10/2014; 3494/QĐ-UBND ngày 04/12/2015</v>
      </c>
      <c r="I19" s="483">
        <f>VLOOKUP($B19,DATA!$B$14:$AU$589,13,0)</f>
        <v>139630</v>
      </c>
      <c r="J19" s="483">
        <f>VLOOKUP($B19,DATA!$B$14:$AU$589,15,0)</f>
        <v>17000</v>
      </c>
      <c r="K19" s="483">
        <f>VLOOKUP($B19,DATA!$B$14:$AU$589,26,0)</f>
        <v>33877</v>
      </c>
      <c r="L19" s="483">
        <f>VLOOKUP($B19,DATA!$B$14:$AU$589,28,0)</f>
        <v>13877</v>
      </c>
      <c r="M19" s="483">
        <f>VLOOKUP($B19,DATA!$B$14:$AU$589,29,0)</f>
        <v>7519</v>
      </c>
      <c r="N19" s="483">
        <f>VLOOKUP($B19,DATA!$B$14:$AU$589,30,0)</f>
        <v>1423</v>
      </c>
      <c r="O19" s="483">
        <f t="shared" si="2"/>
        <v>1423</v>
      </c>
      <c r="P19" s="497">
        <v>100</v>
      </c>
      <c r="Q19" s="497" t="s">
        <v>2103</v>
      </c>
      <c r="R19" s="497">
        <f>VLOOKUP($B19,DATA!$B$14:$AU$589,33,0)</f>
        <v>0</v>
      </c>
    </row>
    <row r="20" spans="1:23" ht="47.25">
      <c r="A20" s="484">
        <v>11</v>
      </c>
      <c r="B20" s="491" t="s">
        <v>578</v>
      </c>
      <c r="C20" s="497" t="str">
        <f>VLOOKUP($B20,DATA!$B$14:$AU$589,6,0)</f>
        <v>Ba Đồn</v>
      </c>
      <c r="D20" s="497" t="str">
        <f>VLOOKUP($B20,DATA!$B$14:$AU$589,36,0)</f>
        <v>Quảng Sơn</v>
      </c>
      <c r="E20" s="497" t="str">
        <f>VLOOKUP($B20,DATA!$B$14:$AU$589,37,0)</f>
        <v>NN-TL</v>
      </c>
      <c r="F20" s="497">
        <f>VLOOKUP($B20,DATA!$B$14:$AU$589,7,0)</f>
        <v>2018</v>
      </c>
      <c r="G20" s="497">
        <f>VLOOKUP($B20,DATA!$B$14:$AU$589,9,0)</f>
        <v>2020</v>
      </c>
      <c r="H20" s="497" t="str">
        <f>VLOOKUP($B20,DATA!$B$14:$AU$589,12,0)</f>
        <v>3349/QĐ-UBND ngày 25/10/2016</v>
      </c>
      <c r="I20" s="483">
        <f>VLOOKUP($B20,DATA!$B$14:$AU$589,13,0)</f>
        <v>5000</v>
      </c>
      <c r="J20" s="483">
        <f>VLOOKUP($B20,DATA!$B$14:$AU$589,15,0)</f>
        <v>3600</v>
      </c>
      <c r="K20" s="483">
        <f>VLOOKUP($B20,DATA!$B$14:$AU$589,26,0)</f>
        <v>972</v>
      </c>
      <c r="L20" s="483">
        <f>VLOOKUP($B20,DATA!$B$14:$AU$589,28,0)</f>
        <v>972</v>
      </c>
      <c r="M20" s="483">
        <f>VLOOKUP($B20,DATA!$B$14:$AU$589,29,0)</f>
        <v>3240</v>
      </c>
      <c r="N20" s="483">
        <f>VLOOKUP($B20,DATA!$B$14:$AU$589,30,0)</f>
        <v>2268</v>
      </c>
      <c r="O20" s="483">
        <f t="shared" si="2"/>
        <v>1134</v>
      </c>
      <c r="P20" s="497">
        <v>50</v>
      </c>
      <c r="Q20" s="497"/>
      <c r="R20" s="497">
        <f>VLOOKUP($B20,DATA!$B$14:$AU$589,33,0)</f>
        <v>0</v>
      </c>
    </row>
    <row r="21" spans="1:23" ht="33.6" customHeight="1">
      <c r="A21" s="484">
        <v>12</v>
      </c>
      <c r="B21" s="491" t="s">
        <v>527</v>
      </c>
      <c r="C21" s="497" t="str">
        <f>VLOOKUP($B21,DATA!$B$14:$AU$589,6,0)</f>
        <v>Quảng Ninh</v>
      </c>
      <c r="D21" s="497" t="str">
        <f>VLOOKUP($B21,DATA!$B$14:$AU$589,36,0)</f>
        <v>Trường Xuân</v>
      </c>
      <c r="E21" s="497" t="str">
        <f>VLOOKUP($B21,DATA!$B$14:$AU$589,37,0)</f>
        <v>GT</v>
      </c>
      <c r="F21" s="497">
        <f>VLOOKUP($B21,DATA!$B$14:$AU$589,7,0)</f>
        <v>2018</v>
      </c>
      <c r="G21" s="497">
        <f>VLOOKUP($B21,DATA!$B$14:$AU$589,9,0)</f>
        <v>2020</v>
      </c>
      <c r="H21" s="497" t="str">
        <f>VLOOKUP($B21,DATA!$B$14:$AU$589,12,0)</f>
        <v>3439/QĐ-UBND ngày 28/10/2017</v>
      </c>
      <c r="I21" s="483">
        <f>VLOOKUP($B21,DATA!$B$14:$AU$589,13,0)</f>
        <v>5000</v>
      </c>
      <c r="J21" s="483">
        <f>VLOOKUP($B21,DATA!$B$14:$AU$589,15,0)</f>
        <v>4137</v>
      </c>
      <c r="K21" s="483">
        <f>VLOOKUP($B21,DATA!$B$14:$AU$589,26,0)</f>
        <v>1117</v>
      </c>
      <c r="L21" s="483">
        <f>VLOOKUP($B21,DATA!$B$14:$AU$589,28,0)</f>
        <v>1117</v>
      </c>
      <c r="M21" s="483">
        <f>VLOOKUP($B21,DATA!$B$14:$AU$589,29,0)</f>
        <v>3723</v>
      </c>
      <c r="N21" s="483">
        <f>VLOOKUP($B21,DATA!$B$14:$AU$589,30,0)</f>
        <v>2606</v>
      </c>
      <c r="O21" s="483">
        <f t="shared" si="2"/>
        <v>1303</v>
      </c>
      <c r="P21" s="497">
        <v>50</v>
      </c>
      <c r="Q21" s="497"/>
      <c r="R21" s="497" t="str">
        <f>VLOOKUP($B21,DATA!$B$14:$AU$589,33,0)</f>
        <v>Cập nhật QĐ dự án</v>
      </c>
    </row>
    <row r="22" spans="1:23" ht="33.6" customHeight="1">
      <c r="A22" s="484">
        <v>13</v>
      </c>
      <c r="B22" s="491" t="s">
        <v>513</v>
      </c>
      <c r="C22" s="497" t="str">
        <f>VLOOKUP($B22,DATA!$B$14:$AU$589,6,0)</f>
        <v>Ba Đồn</v>
      </c>
      <c r="D22" s="497" t="str">
        <f>VLOOKUP($B22,DATA!$B$14:$AU$589,36,0)</f>
        <v>Quảng Trung</v>
      </c>
      <c r="E22" s="497" t="str">
        <f>VLOOKUP($B22,DATA!$B$14:$AU$589,37,0)</f>
        <v>NN-TL</v>
      </c>
      <c r="F22" s="497">
        <f>VLOOKUP($B22,DATA!$B$14:$AU$589,7,0)</f>
        <v>2018</v>
      </c>
      <c r="G22" s="497">
        <f>VLOOKUP($B22,DATA!$B$14:$AU$589,9,0)</f>
        <v>2020</v>
      </c>
      <c r="H22" s="497" t="str">
        <f>VLOOKUP($B22,DATA!$B$14:$AU$589,12,0)</f>
        <v>800/QĐ-UBND ngày 13/3/2017</v>
      </c>
      <c r="I22" s="483">
        <f>VLOOKUP($B22,DATA!$B$14:$AU$589,13,0)</f>
        <v>11993</v>
      </c>
      <c r="J22" s="483">
        <f>VLOOKUP($B22,DATA!$B$14:$AU$589,15,0)</f>
        <v>5899</v>
      </c>
      <c r="K22" s="483">
        <f>VLOOKUP($B22,DATA!$B$14:$AU$589,26,0)</f>
        <v>1653</v>
      </c>
      <c r="L22" s="483">
        <f>VLOOKUP($B22,DATA!$B$14:$AU$589,28,0)</f>
        <v>1653</v>
      </c>
      <c r="M22" s="483">
        <f>VLOOKUP($B22,DATA!$B$14:$AU$589,29,0)</f>
        <v>5309</v>
      </c>
      <c r="N22" s="483">
        <f>VLOOKUP($B22,DATA!$B$14:$AU$589,30,0)</f>
        <v>3656</v>
      </c>
      <c r="O22" s="483">
        <f t="shared" si="2"/>
        <v>1828</v>
      </c>
      <c r="P22" s="497">
        <v>50</v>
      </c>
      <c r="Q22" s="497"/>
      <c r="R22" s="497">
        <f>VLOOKUP($B22,DATA!$B$14:$AU$589,33,0)</f>
        <v>0</v>
      </c>
    </row>
    <row r="23" spans="1:23" ht="33.6" customHeight="1">
      <c r="A23" s="484">
        <v>14</v>
      </c>
      <c r="B23" s="491" t="s">
        <v>1026</v>
      </c>
      <c r="C23" s="497" t="str">
        <f>VLOOKUP($B23,DATA!$B$14:$AU$589,6,0)</f>
        <v>Quảng Trạch</v>
      </c>
      <c r="D23" s="497" t="str">
        <f>VLOOKUP($B23,DATA!$B$14:$AU$589,36,0)</f>
        <v>Quảng Xuân</v>
      </c>
      <c r="E23" s="497" t="str">
        <f>VLOOKUP($B23,DATA!$B$14:$AU$589,37,0)</f>
        <v>GT</v>
      </c>
      <c r="F23" s="497">
        <f>VLOOKUP($B23,DATA!$B$14:$AU$589,7,0)</f>
        <v>2018</v>
      </c>
      <c r="G23" s="497">
        <f>VLOOKUP($B23,DATA!$B$14:$AU$589,9,0)</f>
        <v>2020</v>
      </c>
      <c r="H23" s="497" t="str">
        <f>VLOOKUP($B23,DATA!$B$14:$AU$589,12,0)</f>
        <v>3851/QĐ-UBND ngày 30/10/2017</v>
      </c>
      <c r="I23" s="483">
        <f>VLOOKUP($B23,DATA!$B$14:$AU$589,13,0)</f>
        <v>6000</v>
      </c>
      <c r="J23" s="483">
        <f>VLOOKUP($B23,DATA!$B$14:$AU$589,15,0)</f>
        <v>6000</v>
      </c>
      <c r="K23" s="483">
        <f>VLOOKUP($B23,DATA!$B$14:$AU$589,26,0)</f>
        <v>1800</v>
      </c>
      <c r="L23" s="483">
        <f>VLOOKUP($B23,DATA!$B$14:$AU$589,28,0)</f>
        <v>1800</v>
      </c>
      <c r="M23" s="483">
        <f>VLOOKUP($B23,DATA!$B$14:$AU$589,29,0)</f>
        <v>6000</v>
      </c>
      <c r="N23" s="483">
        <f>VLOOKUP($B23,DATA!$B$14:$AU$589,30,0)</f>
        <v>4200</v>
      </c>
      <c r="O23" s="483">
        <f t="shared" si="2"/>
        <v>2100</v>
      </c>
      <c r="P23" s="497">
        <v>50</v>
      </c>
      <c r="Q23" s="497"/>
      <c r="R23" s="497">
        <f>VLOOKUP($B23,DATA!$B$14:$AU$589,33,0)</f>
        <v>0</v>
      </c>
    </row>
    <row r="24" spans="1:23" s="8" customFormat="1" ht="33.6" customHeight="1">
      <c r="A24" s="484">
        <v>15</v>
      </c>
      <c r="B24" s="491" t="s">
        <v>514</v>
      </c>
      <c r="C24" s="497" t="str">
        <f>VLOOKUP($B24,DATA!$B$14:$AU$589,6,0)</f>
        <v>Lệ Thủy</v>
      </c>
      <c r="D24" s="497" t="str">
        <f>VLOOKUP($B24,DATA!$B$14:$AU$589,36,0)</f>
        <v>NT Lệ Ninh</v>
      </c>
      <c r="E24" s="497" t="str">
        <f>VLOOKUP($B24,DATA!$B$14:$AU$589,37,0)</f>
        <v>Khác</v>
      </c>
      <c r="F24" s="497">
        <f>VLOOKUP($B24,DATA!$B$14:$AU$589,7,0)</f>
        <v>2018</v>
      </c>
      <c r="G24" s="497">
        <f>VLOOKUP($B24,DATA!$B$14:$AU$589,9,0)</f>
        <v>2020</v>
      </c>
      <c r="H24" s="497" t="str">
        <f>VLOOKUP($B24,DATA!$B$14:$AU$589,12,0)</f>
        <v>3878/QĐ-UBND ngày 30/10/2017</v>
      </c>
      <c r="I24" s="483">
        <f>VLOOKUP($B24,DATA!$B$14:$AU$589,13,0)</f>
        <v>15000</v>
      </c>
      <c r="J24" s="483">
        <f>VLOOKUP($B24,DATA!$B$14:$AU$589,15,0)</f>
        <v>7500</v>
      </c>
      <c r="K24" s="483">
        <f>VLOOKUP($B24,DATA!$B$14:$AU$589,26,0)</f>
        <v>2085</v>
      </c>
      <c r="L24" s="483">
        <f>VLOOKUP($B24,DATA!$B$14:$AU$589,28,0)</f>
        <v>2085</v>
      </c>
      <c r="M24" s="483">
        <f>VLOOKUP($B24,DATA!$B$14:$AU$589,29,0)</f>
        <v>6750</v>
      </c>
      <c r="N24" s="483">
        <f>VLOOKUP($B24,DATA!$B$14:$AU$589,30,0)</f>
        <v>4665</v>
      </c>
      <c r="O24" s="483">
        <f t="shared" si="2"/>
        <v>2332.5</v>
      </c>
      <c r="P24" s="497">
        <v>50</v>
      </c>
      <c r="Q24" s="497"/>
      <c r="R24" s="497">
        <f>VLOOKUP($B24,DATA!$B$14:$AU$589,33,0)</f>
        <v>0</v>
      </c>
      <c r="S24" s="49"/>
      <c r="T24" s="49"/>
      <c r="U24" s="49"/>
      <c r="V24" s="49"/>
      <c r="W24" s="49"/>
    </row>
    <row r="25" spans="1:23" ht="33.6" customHeight="1">
      <c r="A25" s="484">
        <v>16</v>
      </c>
      <c r="B25" s="491" t="s">
        <v>1030</v>
      </c>
      <c r="C25" s="497" t="str">
        <f>VLOOKUP($B25,DATA!$B$14:$AU$589,6,0)</f>
        <v>Quảng Ninh</v>
      </c>
      <c r="D25" s="497" t="str">
        <f>VLOOKUP($B25,DATA!$B$14:$AU$589,36,0)</f>
        <v>Vĩnh Ninh</v>
      </c>
      <c r="E25" s="497" t="str">
        <f>VLOOKUP($B25,DATA!$B$14:$AU$589,37,0)</f>
        <v>Khác</v>
      </c>
      <c r="F25" s="497">
        <f>VLOOKUP($B25,DATA!$B$14:$AU$589,7,0)</f>
        <v>2018</v>
      </c>
      <c r="G25" s="497">
        <f>VLOOKUP($B25,DATA!$B$14:$AU$589,9,0)</f>
        <v>2020</v>
      </c>
      <c r="H25" s="497" t="str">
        <f>VLOOKUP($B25,DATA!$B$14:$AU$589,12,0)</f>
        <v>2556/QĐ-UBND ngày 17/7/2017</v>
      </c>
      <c r="I25" s="483">
        <f>VLOOKUP($B25,DATA!$B$14:$AU$589,13,0)</f>
        <v>8710</v>
      </c>
      <c r="J25" s="483">
        <f>VLOOKUP($B25,DATA!$B$14:$AU$589,15,0)</f>
        <v>8710</v>
      </c>
      <c r="K25" s="483">
        <f>VLOOKUP($B25,DATA!$B$14:$AU$589,26,0)</f>
        <v>2612</v>
      </c>
      <c r="L25" s="483">
        <f>VLOOKUP($B25,DATA!$B$14:$AU$589,28,0)</f>
        <v>2612</v>
      </c>
      <c r="M25" s="483">
        <f>VLOOKUP($B25,DATA!$B$14:$AU$589,29,0)</f>
        <v>8710</v>
      </c>
      <c r="N25" s="483">
        <f>VLOOKUP($B25,DATA!$B$14:$AU$589,30,0)</f>
        <v>6098</v>
      </c>
      <c r="O25" s="483">
        <f t="shared" si="2"/>
        <v>3049</v>
      </c>
      <c r="P25" s="497">
        <v>50</v>
      </c>
      <c r="Q25" s="497"/>
      <c r="R25" s="497" t="str">
        <f>VLOOKUP($B25,DATA!$B$14:$AU$589,33,0)</f>
        <v>Trong KH trung hạn thuộc danh mục KCM 2018, dự án phê duyệt BCKTKT năm 2017 nhưng vẫn triển khai trong năm 2017, vốn tạm ứng từ nguồn dự phòng (sai nguyên tắc)</v>
      </c>
      <c r="S25" s="8"/>
      <c r="T25" s="8"/>
      <c r="U25" s="8"/>
      <c r="V25" s="8"/>
      <c r="W25" s="8"/>
    </row>
    <row r="26" spans="1:23" ht="33.6" customHeight="1">
      <c r="A26" s="484">
        <v>17</v>
      </c>
      <c r="B26" s="491" t="s">
        <v>1031</v>
      </c>
      <c r="C26" s="497" t="str">
        <f>VLOOKUP($B26,DATA!$B$14:$AU$589,6,0)</f>
        <v>Tuyên Hóa</v>
      </c>
      <c r="D26" s="497" t="str">
        <f>VLOOKUP($B26,DATA!$B$14:$AU$589,36,0)</f>
        <v>Phong Hóa</v>
      </c>
      <c r="E26" s="497" t="str">
        <f>VLOOKUP($B26,DATA!$B$14:$AU$589,37,0)</f>
        <v>NN-TL</v>
      </c>
      <c r="F26" s="497">
        <f>VLOOKUP($B26,DATA!$B$14:$AU$589,7,0)</f>
        <v>2018</v>
      </c>
      <c r="G26" s="497">
        <f>VLOOKUP($B26,DATA!$B$14:$AU$589,9,0)</f>
        <v>2020</v>
      </c>
      <c r="H26" s="497" t="str">
        <f>VLOOKUP($B26,DATA!$B$14:$AU$589,12,0)</f>
        <v>3668/QĐ-UBND ngày 18/10/2017</v>
      </c>
      <c r="I26" s="483">
        <f>VLOOKUP($B26,DATA!$B$14:$AU$589,13,0)</f>
        <v>9000</v>
      </c>
      <c r="J26" s="483">
        <f>VLOOKUP($B26,DATA!$B$14:$AU$589,15,0)</f>
        <v>9000</v>
      </c>
      <c r="K26" s="483">
        <f>VLOOKUP($B26,DATA!$B$14:$AU$589,26,0)</f>
        <v>2742</v>
      </c>
      <c r="L26" s="483">
        <f>VLOOKUP($B26,DATA!$B$14:$AU$589,28,0)</f>
        <v>2742</v>
      </c>
      <c r="M26" s="483">
        <f>VLOOKUP($B26,DATA!$B$14:$AU$589,29,0)</f>
        <v>9000</v>
      </c>
      <c r="N26" s="483">
        <f>VLOOKUP($B26,DATA!$B$14:$AU$589,30,0)</f>
        <v>6258</v>
      </c>
      <c r="O26" s="483">
        <f t="shared" si="2"/>
        <v>3129</v>
      </c>
      <c r="P26" s="497">
        <v>50</v>
      </c>
      <c r="Q26" s="497"/>
      <c r="R26" s="497" t="str">
        <f>VLOOKUP($B26,DATA!$B$14:$AU$589,33,0)</f>
        <v>Cập nhật số KH 2018-2020 (trừ CBĐT)</v>
      </c>
    </row>
    <row r="27" spans="1:23" ht="33.6" customHeight="1">
      <c r="A27" s="484">
        <v>18</v>
      </c>
      <c r="B27" s="491" t="s">
        <v>1032</v>
      </c>
      <c r="C27" s="497" t="str">
        <f>VLOOKUP($B27,DATA!$B$14:$AU$589,6,0)</f>
        <v>Tuyên Hóa</v>
      </c>
      <c r="D27" s="497" t="str">
        <f>VLOOKUP($B27,DATA!$B$14:$AU$589,36,0)</f>
        <v>Nam Hóa</v>
      </c>
      <c r="E27" s="497" t="str">
        <f>VLOOKUP($B27,DATA!$B$14:$AU$589,37,0)</f>
        <v>GT</v>
      </c>
      <c r="F27" s="497">
        <f>VLOOKUP($B27,DATA!$B$14:$AU$589,7,0)</f>
        <v>2018</v>
      </c>
      <c r="G27" s="497">
        <f>VLOOKUP($B27,DATA!$B$14:$AU$589,9,0)</f>
        <v>2020</v>
      </c>
      <c r="H27" s="497" t="str">
        <f>VLOOKUP($B27,DATA!$B$14:$AU$589,12,0)</f>
        <v>2825/QĐ-UBND ngày 08/8/2017</v>
      </c>
      <c r="I27" s="483">
        <f>VLOOKUP($B27,DATA!$B$14:$AU$589,13,0)</f>
        <v>9500</v>
      </c>
      <c r="J27" s="483">
        <f>VLOOKUP($B27,DATA!$B$14:$AU$589,15,0)</f>
        <v>9500</v>
      </c>
      <c r="K27" s="483">
        <f>VLOOKUP($B27,DATA!$B$14:$AU$589,26,0)</f>
        <v>2892</v>
      </c>
      <c r="L27" s="483">
        <f>VLOOKUP($B27,DATA!$B$14:$AU$589,28,0)</f>
        <v>2892</v>
      </c>
      <c r="M27" s="483">
        <f>VLOOKUP($B27,DATA!$B$14:$AU$589,29,0)</f>
        <v>9500</v>
      </c>
      <c r="N27" s="483">
        <f>VLOOKUP($B27,DATA!$B$14:$AU$589,30,0)</f>
        <v>6608</v>
      </c>
      <c r="O27" s="483">
        <f t="shared" si="2"/>
        <v>3304</v>
      </c>
      <c r="P27" s="497">
        <v>50</v>
      </c>
      <c r="Q27" s="497"/>
      <c r="R27" s="497" t="str">
        <f>VLOOKUP($B27,DATA!$B$14:$AU$589,33,0)</f>
        <v>Cập nhật số KH 2018-2020 (trừ CBĐT)</v>
      </c>
    </row>
    <row r="28" spans="1:23" ht="33.6" customHeight="1">
      <c r="A28" s="484">
        <v>19</v>
      </c>
      <c r="B28" s="491" t="s">
        <v>1033</v>
      </c>
      <c r="C28" s="497" t="str">
        <f>VLOOKUP($B28,DATA!$B$14:$AU$589,6,0)</f>
        <v>Tuyên Hóa</v>
      </c>
      <c r="D28" s="497" t="str">
        <f>VLOOKUP($B28,DATA!$B$14:$AU$589,36,0)</f>
        <v>Thuận Hóa</v>
      </c>
      <c r="E28" s="497" t="str">
        <f>VLOOKUP($B28,DATA!$B$14:$AU$589,37,0)</f>
        <v>GT</v>
      </c>
      <c r="F28" s="497">
        <f>VLOOKUP($B28,DATA!$B$14:$AU$589,7,0)</f>
        <v>2018</v>
      </c>
      <c r="G28" s="497">
        <f>VLOOKUP($B28,DATA!$B$14:$AU$589,9,0)</f>
        <v>2020</v>
      </c>
      <c r="H28" s="497" t="str">
        <f>VLOOKUP($B28,DATA!$B$14:$AU$589,12,0)</f>
        <v>2991/QĐ-UBND ngày 25/8/2017</v>
      </c>
      <c r="I28" s="483">
        <f>VLOOKUP($B28,DATA!$B$14:$AU$589,13,0)</f>
        <v>9986</v>
      </c>
      <c r="J28" s="483">
        <f>VLOOKUP($B28,DATA!$B$14:$AU$589,15,0)</f>
        <v>9986</v>
      </c>
      <c r="K28" s="483">
        <f>VLOOKUP($B28,DATA!$B$14:$AU$589,26,0)</f>
        <v>3038</v>
      </c>
      <c r="L28" s="483">
        <f>VLOOKUP($B28,DATA!$B$14:$AU$589,28,0)</f>
        <v>3038</v>
      </c>
      <c r="M28" s="483">
        <f>VLOOKUP($B28,DATA!$B$14:$AU$589,29,0)</f>
        <v>9986</v>
      </c>
      <c r="N28" s="483">
        <f>VLOOKUP($B28,DATA!$B$14:$AU$589,30,0)</f>
        <v>6948</v>
      </c>
      <c r="O28" s="483">
        <f t="shared" si="2"/>
        <v>3474</v>
      </c>
      <c r="P28" s="497">
        <v>50</v>
      </c>
      <c r="Q28" s="497"/>
      <c r="R28" s="497" t="str">
        <f>VLOOKUP($B28,DATA!$B$14:$AU$589,33,0)</f>
        <v>Cập nhật số KH 2018-2020 (trừ CBĐT)</v>
      </c>
    </row>
    <row r="29" spans="1:23" ht="33.6" customHeight="1">
      <c r="A29" s="484">
        <v>20</v>
      </c>
      <c r="B29" s="501" t="s">
        <v>1006</v>
      </c>
      <c r="C29" s="497" t="str">
        <f>VLOOKUP($B29,DATA!$B$14:$AU$589,6,0)</f>
        <v>Đồng Hới</v>
      </c>
      <c r="D29" s="497" t="str">
        <f>VLOOKUP($B29,DATA!$B$14:$AU$589,36,0)</f>
        <v>Bảo Ninh</v>
      </c>
      <c r="E29" s="497" t="str">
        <f>VLOOKUP($B29,DATA!$B$14:$AU$589,37,0)</f>
        <v>NN-TL</v>
      </c>
      <c r="F29" s="497">
        <f>VLOOKUP($B29,DATA!$B$14:$AU$589,7,0)</f>
        <v>2014</v>
      </c>
      <c r="G29" s="497">
        <f>VLOOKUP($B29,DATA!$B$14:$AU$589,9,0)</f>
        <v>2020</v>
      </c>
      <c r="H29" s="497" t="str">
        <f>VLOOKUP($B29,DATA!$B$14:$AU$589,12,0)</f>
        <v>270/QĐ-CT ngày 31/01/2013</v>
      </c>
      <c r="I29" s="483">
        <f>VLOOKUP($B29,DATA!$B$14:$AU$589,13,0)</f>
        <v>46489</v>
      </c>
      <c r="J29" s="483">
        <f>VLOOKUP($B29,DATA!$B$14:$AU$589,15,0)</f>
        <v>46489</v>
      </c>
      <c r="K29" s="483">
        <f>VLOOKUP($B29,DATA!$B$14:$AU$589,26,0)</f>
        <v>38937</v>
      </c>
      <c r="L29" s="483">
        <f>VLOOKUP($B29,DATA!$B$14:$AU$589,28,0)</f>
        <v>38937</v>
      </c>
      <c r="M29" s="483">
        <f>VLOOKUP($B29,DATA!$B$14:$AU$589,29,0)</f>
        <v>16500</v>
      </c>
      <c r="N29" s="483">
        <f>VLOOKUP($B29,DATA!$B$14:$AU$589,30,0)</f>
        <v>7600</v>
      </c>
      <c r="O29" s="483">
        <f t="shared" si="2"/>
        <v>3800</v>
      </c>
      <c r="P29" s="497">
        <v>50</v>
      </c>
      <c r="Q29" s="497"/>
      <c r="R29" s="497" t="str">
        <f>VLOOKUP($B29,DATA!$B$14:$AU$589,33,0)</f>
        <v>Đang bổ sung KH trung hạn</v>
      </c>
    </row>
    <row r="30" spans="1:23" s="662" customFormat="1" ht="33.6" customHeight="1">
      <c r="A30" s="732" t="s">
        <v>472</v>
      </c>
      <c r="B30" s="733" t="s">
        <v>1626</v>
      </c>
      <c r="C30" s="732"/>
      <c r="D30" s="732"/>
      <c r="E30" s="732"/>
      <c r="F30" s="732"/>
      <c r="G30" s="732"/>
      <c r="H30" s="732"/>
      <c r="I30" s="729">
        <f t="shared" ref="I30:N30" si="3">SUBTOTAL(109,I31:I34)</f>
        <v>113196</v>
      </c>
      <c r="J30" s="729">
        <f t="shared" si="3"/>
        <v>41303</v>
      </c>
      <c r="K30" s="729">
        <f t="shared" si="3"/>
        <v>19200</v>
      </c>
      <c r="L30" s="729">
        <f t="shared" si="3"/>
        <v>13200</v>
      </c>
      <c r="M30" s="729">
        <f t="shared" si="3"/>
        <v>41303</v>
      </c>
      <c r="N30" s="729">
        <f t="shared" si="3"/>
        <v>28103</v>
      </c>
      <c r="O30" s="729">
        <f>SUBTOTAL(109,O31:O34)</f>
        <v>15130</v>
      </c>
      <c r="P30" s="729"/>
      <c r="Q30" s="729"/>
      <c r="R30" s="729"/>
    </row>
    <row r="31" spans="1:23" ht="33.6" customHeight="1">
      <c r="A31" s="484">
        <v>1</v>
      </c>
      <c r="B31" s="663" t="s">
        <v>703</v>
      </c>
      <c r="C31" s="497" t="str">
        <f>VLOOKUP($B31,DATA!$B$14:$AU$589,6,0)</f>
        <v>Đồng Hới</v>
      </c>
      <c r="D31" s="497" t="str">
        <f>VLOOKUP($B31,DATA!$B$14:$AU$589,36,0)</f>
        <v>Hải Đình</v>
      </c>
      <c r="E31" s="497" t="str">
        <f>VLOOKUP($B31,DATA!$B$14:$AU$589,37,0)</f>
        <v>Khác</v>
      </c>
      <c r="F31" s="497">
        <f>VLOOKUP($B31,DATA!$B$14:$AU$589,7,0)</f>
        <v>2018</v>
      </c>
      <c r="G31" s="497">
        <f>VLOOKUP($B31,DATA!$B$14:$AU$589,9,0)</f>
        <v>2020</v>
      </c>
      <c r="H31" s="497" t="str">
        <f>VLOOKUP($B31,DATA!$B$14:$AU$589,12,0)</f>
        <v>2636/QĐ-UBND ngày 25/7/2017</v>
      </c>
      <c r="I31" s="483">
        <f>VLOOKUP($B31,DATA!$B$14:$AU$589,13,0)</f>
        <v>7657</v>
      </c>
      <c r="J31" s="483">
        <f>VLOOKUP($B31,DATA!$B$14:$AU$589,15,0)</f>
        <v>5657</v>
      </c>
      <c r="K31" s="483">
        <f>VLOOKUP($B31,DATA!$B$14:$AU$589,26,0)</f>
        <v>3500</v>
      </c>
      <c r="L31" s="483">
        <f>VLOOKUP($B31,DATA!$B$14:$AU$589,28,0)</f>
        <v>3500</v>
      </c>
      <c r="M31" s="483">
        <f>VLOOKUP($B31,DATA!$B$14:$AU$589,29,0)</f>
        <v>5657</v>
      </c>
      <c r="N31" s="483">
        <f>VLOOKUP($B31,DATA!$B$14:$AU$589,30,0)</f>
        <v>2157</v>
      </c>
      <c r="O31" s="483">
        <f>N31*P31/100</f>
        <v>2157</v>
      </c>
      <c r="P31" s="497">
        <v>100</v>
      </c>
      <c r="Q31" s="497" t="s">
        <v>1645</v>
      </c>
      <c r="R31" s="497" t="str">
        <f>VLOOKUP($B31,DATA!$B$14:$AU$589,33,0)</f>
        <v xml:space="preserve"> Điều chỉnh tăng TMĐT 2,157 tỷ (TT. HDDND tỉnh đồng ý tại VB số 147/HĐND-VP ngày 30/10/2018)</v>
      </c>
      <c r="S31" s="58"/>
    </row>
    <row r="32" spans="1:23" ht="67.5" customHeight="1">
      <c r="A32" s="484">
        <v>2</v>
      </c>
      <c r="B32" s="664" t="s">
        <v>1013</v>
      </c>
      <c r="C32" s="497" t="str">
        <f>VLOOKUP($B32,DATA!$B$14:$AU$589,6,0)</f>
        <v>Đồng Hới</v>
      </c>
      <c r="D32" s="497" t="str">
        <f>VLOOKUP($B32,DATA!$B$14:$AU$589,36,0)</f>
        <v>Nam Lý</v>
      </c>
      <c r="E32" s="497" t="str">
        <f>VLOOKUP($B32,DATA!$B$14:$AU$589,37,0)</f>
        <v>Khác</v>
      </c>
      <c r="F32" s="497">
        <f>VLOOKUP($B32,DATA!$B$14:$AU$589,7,0)</f>
        <v>2018</v>
      </c>
      <c r="G32" s="497">
        <f>VLOOKUP($B32,DATA!$B$14:$AU$589,9,0)</f>
        <v>2020</v>
      </c>
      <c r="H32" s="497" t="str">
        <f>VLOOKUP($B32,DATA!$B$14:$AU$589,12,0)</f>
        <v>3857/QĐ-UBND ngày 30/10/2017; 2855/QĐ-UBND ngày 28/6/2018</v>
      </c>
      <c r="I32" s="483">
        <f>VLOOKUP($B32,DATA!$B$14:$AU$589,13,0)</f>
        <v>6600</v>
      </c>
      <c r="J32" s="483">
        <f>VLOOKUP($B32,DATA!$B$14:$AU$589,15,0)</f>
        <v>6600</v>
      </c>
      <c r="K32" s="483">
        <f>VLOOKUP($B32,DATA!$B$14:$AU$589,26,0)</f>
        <v>3700</v>
      </c>
      <c r="L32" s="483">
        <f>VLOOKUP($B32,DATA!$B$14:$AU$589,28,0)</f>
        <v>3700</v>
      </c>
      <c r="M32" s="483">
        <f>VLOOKUP($B32,DATA!$B$14:$AU$589,29,0)</f>
        <v>6600</v>
      </c>
      <c r="N32" s="483">
        <f>VLOOKUP($B32,DATA!$B$14:$AU$589,30,0)</f>
        <v>2900</v>
      </c>
      <c r="O32" s="483">
        <f>N32*P32/100</f>
        <v>1450</v>
      </c>
      <c r="P32" s="497">
        <v>50</v>
      </c>
      <c r="Q32" s="497" t="s">
        <v>1644</v>
      </c>
      <c r="R32" s="497" t="str">
        <f>VLOOKUP($B32,DATA!$B$14:$AU$589,33,0)</f>
        <v>Điều chỉnh tăng TMĐT 2,9 tỷ</v>
      </c>
    </row>
    <row r="33" spans="1:23" ht="33.6" customHeight="1">
      <c r="A33" s="484">
        <v>3</v>
      </c>
      <c r="B33" s="665" t="s">
        <v>115</v>
      </c>
      <c r="C33" s="497" t="str">
        <f>VLOOKUP($B33,DATA!$B$14:$AU$589,6,0)</f>
        <v>Quảng Trạch</v>
      </c>
      <c r="D33" s="497" t="str">
        <f>VLOOKUP($B33,DATA!$B$14:$AU$589,36,0)</f>
        <v>Quảng Châu</v>
      </c>
      <c r="E33" s="497" t="str">
        <f>VLOOKUP($B33,DATA!$B$14:$AU$589,37,0)</f>
        <v>Khác</v>
      </c>
      <c r="F33" s="497">
        <f>VLOOKUP($B33,DATA!$B$14:$AU$589,7,0)</f>
        <v>2015</v>
      </c>
      <c r="G33" s="497">
        <f>VLOOKUP($B33,DATA!$B$14:$AU$589,9,0)</f>
        <v>2020</v>
      </c>
      <c r="H33" s="497" t="str">
        <f>VLOOKUP($B33,DATA!$B$14:$AU$589,12,0)</f>
        <v>651-QĐ/TWĐTN</v>
      </c>
      <c r="I33" s="483">
        <f>VLOOKUP($B33,DATA!$B$14:$AU$589,13,0)</f>
        <v>53939</v>
      </c>
      <c r="J33" s="483">
        <f>VLOOKUP($B33,DATA!$B$14:$AU$589,15,0)</f>
        <v>13046</v>
      </c>
      <c r="K33" s="483">
        <f>VLOOKUP($B33,DATA!$B$14:$AU$589,26,0)</f>
        <v>12000</v>
      </c>
      <c r="L33" s="483">
        <f>VLOOKUP($B33,DATA!$B$14:$AU$589,28,0)</f>
        <v>6000</v>
      </c>
      <c r="M33" s="483">
        <f>VLOOKUP($B33,DATA!$B$14:$AU$589,29,0)</f>
        <v>13046</v>
      </c>
      <c r="N33" s="483">
        <f>VLOOKUP($B33,DATA!$B$14:$AU$589,30,0)</f>
        <v>7046</v>
      </c>
      <c r="O33" s="483">
        <f>N33*P33/100</f>
        <v>3523</v>
      </c>
      <c r="P33" s="497">
        <v>50</v>
      </c>
      <c r="Q33" s="497" t="s">
        <v>1646</v>
      </c>
      <c r="R33" s="497" t="str">
        <f>VLOOKUP($B33,DATA!$B$14:$AU$589,33,0)</f>
        <v>Đề xuất bổ sung 7,046 tỷ đồng so với kế hoạch trung hạn đã thông qua</v>
      </c>
      <c r="S33" s="58"/>
    </row>
    <row r="34" spans="1:23" ht="33.6" customHeight="1">
      <c r="A34" s="484">
        <v>4</v>
      </c>
      <c r="B34" s="489" t="s">
        <v>1302</v>
      </c>
      <c r="C34" s="497" t="str">
        <f>VLOOKUP($B34,DATA!$B$14:$AU$589,6,0)</f>
        <v>Quảng Trạch</v>
      </c>
      <c r="D34" s="497" t="str">
        <f>VLOOKUP($B34,DATA!$B$14:$AU$589,36,0)</f>
        <v>Quảng Lưu</v>
      </c>
      <c r="E34" s="497" t="str">
        <f>VLOOKUP($B34,DATA!$B$14:$AU$589,37,0)</f>
        <v>GT</v>
      </c>
      <c r="F34" s="497">
        <f>VLOOKUP($B34,DATA!$B$14:$AU$589,7,0)</f>
        <v>2018</v>
      </c>
      <c r="G34" s="497">
        <f>VLOOKUP($B34,DATA!$B$14:$AU$589,9,0)</f>
        <v>2020</v>
      </c>
      <c r="H34" s="497" t="str">
        <f>VLOOKUP($B34,DATA!$B$14:$AU$589,12,0)</f>
        <v>3151/QĐ-UBND ngày 20/9/2017</v>
      </c>
      <c r="I34" s="483">
        <f>VLOOKUP($B34,DATA!$B$14:$AU$589,13,0)</f>
        <v>45000</v>
      </c>
      <c r="J34" s="483">
        <f>VLOOKUP($B34,DATA!$B$14:$AU$589,15,0)</f>
        <v>16000</v>
      </c>
      <c r="K34" s="483">
        <f>VLOOKUP($B34,DATA!$B$14:$AU$589,26,0)</f>
        <v>0</v>
      </c>
      <c r="L34" s="483">
        <f>VLOOKUP($B34,DATA!$B$14:$AU$589,28,0)</f>
        <v>0</v>
      </c>
      <c r="M34" s="483">
        <f>VLOOKUP($B34,DATA!$B$14:$AU$589,29,0)</f>
        <v>16000</v>
      </c>
      <c r="N34" s="483">
        <f>VLOOKUP($B34,DATA!$B$14:$AU$589,30,0)</f>
        <v>16000</v>
      </c>
      <c r="O34" s="483">
        <f>N34*P34/100</f>
        <v>8000</v>
      </c>
      <c r="P34" s="497">
        <v>50</v>
      </c>
      <c r="Q34" s="497" t="s">
        <v>1629</v>
      </c>
      <c r="R34" s="497" t="s">
        <v>1624</v>
      </c>
    </row>
    <row r="35" spans="1:23" s="662" customFormat="1" ht="33.6" customHeight="1">
      <c r="A35" s="732" t="s">
        <v>477</v>
      </c>
      <c r="B35" s="733" t="s">
        <v>1627</v>
      </c>
      <c r="C35" s="732"/>
      <c r="D35" s="732"/>
      <c r="E35" s="732"/>
      <c r="F35" s="732"/>
      <c r="G35" s="732"/>
      <c r="H35" s="732"/>
      <c r="I35" s="729">
        <f t="shared" ref="I35:N35" si="4">SUBTOTAL(109, I36:I43)</f>
        <v>56166</v>
      </c>
      <c r="J35" s="729">
        <f t="shared" si="4"/>
        <v>27799</v>
      </c>
      <c r="K35" s="729">
        <f t="shared" si="4"/>
        <v>0</v>
      </c>
      <c r="L35" s="729">
        <f t="shared" si="4"/>
        <v>0</v>
      </c>
      <c r="M35" s="729">
        <f t="shared" si="4"/>
        <v>27799</v>
      </c>
      <c r="N35" s="729">
        <f t="shared" si="4"/>
        <v>27799</v>
      </c>
      <c r="O35" s="729">
        <f>SUBTOTAL(109, O36:O43)</f>
        <v>15779.5</v>
      </c>
      <c r="P35" s="729"/>
      <c r="Q35" s="729"/>
      <c r="R35" s="729"/>
    </row>
    <row r="36" spans="1:23" s="67" customFormat="1" ht="33.6" customHeight="1">
      <c r="A36" s="484">
        <v>1</v>
      </c>
      <c r="B36" s="491" t="s">
        <v>1445</v>
      </c>
      <c r="C36" s="497" t="str">
        <f>VLOOKUP($B36,DATA!$B$14:$AU$589,6,0)</f>
        <v>Đồng Hới</v>
      </c>
      <c r="D36" s="497" t="str">
        <f>VLOOKUP($B36,DATA!$B$14:$AU$589,36,0)</f>
        <v>Nam Lý</v>
      </c>
      <c r="E36" s="497" t="str">
        <f>VLOOKUP($B36,DATA!$B$14:$AU$589,37,0)</f>
        <v>Khác</v>
      </c>
      <c r="F36" s="497">
        <f>VLOOKUP($B36,DATA!$B$14:$AU$589,7,0)</f>
        <v>2017</v>
      </c>
      <c r="G36" s="497">
        <f>VLOOKUP($B36,DATA!$B$14:$AU$589,9,0)</f>
        <v>2019</v>
      </c>
      <c r="H36" s="497" t="str">
        <f>VLOOKUP($B36,DATA!$B$14:$AU$589,12,0)</f>
        <v xml:space="preserve">3907a/QĐ-UBND ngày 31/10/2017 </v>
      </c>
      <c r="I36" s="483">
        <f>VLOOKUP($B36,DATA!$B$14:$AU$589,13,0)</f>
        <v>10000</v>
      </c>
      <c r="J36" s="483">
        <f>VLOOKUP($B36,DATA!$B$14:$AU$589,15,0)</f>
        <v>2500</v>
      </c>
      <c r="K36" s="483">
        <f>VLOOKUP($B36,DATA!$B$14:$AU$589,26,0)</f>
        <v>0</v>
      </c>
      <c r="L36" s="483">
        <f>VLOOKUP($B36,DATA!$B$14:$AU$589,28,0)</f>
        <v>0</v>
      </c>
      <c r="M36" s="483">
        <f>VLOOKUP($B36,DATA!$B$14:$AU$589,29,0)</f>
        <v>2500</v>
      </c>
      <c r="N36" s="483">
        <f>VLOOKUP($B36,DATA!$B$14:$AU$589,30,0)</f>
        <v>2500</v>
      </c>
      <c r="O36" s="483">
        <f t="shared" ref="O36" si="5">N36*P36/100</f>
        <v>2500</v>
      </c>
      <c r="P36" s="497">
        <v>100</v>
      </c>
      <c r="Q36" s="497" t="s">
        <v>1648</v>
      </c>
      <c r="R36" s="497" t="s">
        <v>1608</v>
      </c>
      <c r="S36" s="69"/>
      <c r="T36" s="69"/>
      <c r="U36" s="69"/>
      <c r="V36" s="70"/>
      <c r="W36" s="69"/>
    </row>
    <row r="37" spans="1:23" s="67" customFormat="1" ht="33.6" customHeight="1">
      <c r="A37" s="484">
        <v>2</v>
      </c>
      <c r="B37" s="491" t="s">
        <v>1347</v>
      </c>
      <c r="C37" s="497" t="str">
        <f>VLOOKUP($B37,DATA!$B$14:$AU$589,6,0)</f>
        <v>Quảng Ninh</v>
      </c>
      <c r="D37" s="497" t="str">
        <f>VLOOKUP($B37,DATA!$B$14:$AU$589,36,0)</f>
        <v>Trường Xuân</v>
      </c>
      <c r="E37" s="497" t="str">
        <f>VLOOKUP($B37,DATA!$B$14:$AU$589,37,0)</f>
        <v>GT</v>
      </c>
      <c r="F37" s="497">
        <f>VLOOKUP($B37,DATA!$B$14:$AU$589,7,0)</f>
        <v>2018</v>
      </c>
      <c r="G37" s="497">
        <f>VLOOKUP($B37,DATA!$B$14:$AU$589,9,0)</f>
        <v>2020</v>
      </c>
      <c r="H37" s="497" t="str">
        <f>VLOOKUP($B37,DATA!$B$14:$AU$589,12,0)</f>
        <v>3952a/QĐ-UBND ngày 31/10/2017</v>
      </c>
      <c r="I37" s="483">
        <f>VLOOKUP($B37,DATA!$B$14:$AU$589,13,0)</f>
        <v>2100</v>
      </c>
      <c r="J37" s="483">
        <f>VLOOKUP($B37,DATA!$B$14:$AU$589,15,0)</f>
        <v>1260</v>
      </c>
      <c r="K37" s="483">
        <f>VLOOKUP($B37,DATA!$B$14:$AU$589,26,0)</f>
        <v>0</v>
      </c>
      <c r="L37" s="483">
        <f>VLOOKUP($B37,DATA!$B$14:$AU$589,28,0)</f>
        <v>0</v>
      </c>
      <c r="M37" s="483">
        <f>VLOOKUP($B37,DATA!$B$14:$AU$589,29,0)</f>
        <v>1260</v>
      </c>
      <c r="N37" s="483">
        <f>VLOOKUP($B37,DATA!$B$14:$AU$589,30,0)</f>
        <v>1260</v>
      </c>
      <c r="O37" s="483">
        <f t="shared" ref="O37:O43" si="6">N37*P37/100</f>
        <v>1260</v>
      </c>
      <c r="P37" s="497">
        <v>100</v>
      </c>
      <c r="Q37" s="497" t="s">
        <v>1648</v>
      </c>
      <c r="R37" s="497" t="s">
        <v>1349</v>
      </c>
      <c r="S37" s="69"/>
      <c r="T37" s="69"/>
      <c r="U37" s="69"/>
      <c r="V37" s="70"/>
      <c r="W37" s="69"/>
    </row>
    <row r="38" spans="1:23" s="67" customFormat="1" ht="33.6" customHeight="1">
      <c r="A38" s="484">
        <v>3</v>
      </c>
      <c r="B38" s="491" t="s">
        <v>1359</v>
      </c>
      <c r="C38" s="497" t="str">
        <f>VLOOKUP($B38,DATA!$B$14:$AU$589,6,0)</f>
        <v>Lệ Thủy</v>
      </c>
      <c r="D38" s="497" t="str">
        <f>VLOOKUP($B38,DATA!$B$14:$AU$589,36,0)</f>
        <v>Lâm Thủy</v>
      </c>
      <c r="E38" s="497" t="str">
        <f>VLOOKUP($B38,DATA!$B$14:$AU$589,37,0)</f>
        <v>NN-TL</v>
      </c>
      <c r="F38" s="497">
        <f>VLOOKUP($B38,DATA!$B$14:$AU$589,7,0)</f>
        <v>2018</v>
      </c>
      <c r="G38" s="497">
        <f>VLOOKUP($B38,DATA!$B$14:$AU$589,9,0)</f>
        <v>2020</v>
      </c>
      <c r="H38" s="497" t="str">
        <f>VLOOKUP($B38,DATA!$B$14:$AU$589,12,0)</f>
        <v>3953/QĐ-UBND ngày 31/10/2017</v>
      </c>
      <c r="I38" s="483">
        <f>VLOOKUP($B38,DATA!$B$14:$AU$589,13,0)</f>
        <v>4500</v>
      </c>
      <c r="J38" s="483">
        <f>VLOOKUP($B38,DATA!$B$14:$AU$589,15,0)</f>
        <v>2700</v>
      </c>
      <c r="K38" s="483">
        <f>VLOOKUP($B38,DATA!$B$14:$AU$589,26,0)</f>
        <v>0</v>
      </c>
      <c r="L38" s="483">
        <f>VLOOKUP($B38,DATA!$B$14:$AU$589,28,0)</f>
        <v>0</v>
      </c>
      <c r="M38" s="483">
        <f>VLOOKUP($B38,DATA!$B$14:$AU$589,29,0)</f>
        <v>2700</v>
      </c>
      <c r="N38" s="483">
        <f>VLOOKUP($B38,DATA!$B$14:$AU$589,30,0)</f>
        <v>2700</v>
      </c>
      <c r="O38" s="483">
        <f t="shared" si="6"/>
        <v>1350</v>
      </c>
      <c r="P38" s="497">
        <v>50</v>
      </c>
      <c r="Q38" s="497" t="s">
        <v>1648</v>
      </c>
      <c r="R38" s="497" t="s">
        <v>1307</v>
      </c>
      <c r="S38" s="69"/>
      <c r="T38" s="69"/>
      <c r="U38" s="69"/>
      <c r="V38" s="70"/>
      <c r="W38" s="69"/>
    </row>
    <row r="39" spans="1:23" s="67" customFormat="1" ht="33.6" customHeight="1">
      <c r="A39" s="484">
        <v>4</v>
      </c>
      <c r="B39" s="491" t="s">
        <v>1402</v>
      </c>
      <c r="C39" s="497" t="str">
        <f>VLOOKUP($B39,DATA!$B$14:$AU$589,6,0)</f>
        <v>Lệ Thủy</v>
      </c>
      <c r="D39" s="497" t="str">
        <f>VLOOKUP($B39,DATA!$B$14:$AU$589,36,0)</f>
        <v>NT Lệ Ninh</v>
      </c>
      <c r="E39" s="497" t="str">
        <f>VLOOKUP($B39,DATA!$B$14:$AU$589,37,0)</f>
        <v>Khác</v>
      </c>
      <c r="F39" s="497">
        <f>VLOOKUP($B39,DATA!$B$14:$AU$589,7,0)</f>
        <v>2018</v>
      </c>
      <c r="G39" s="497">
        <f>VLOOKUP($B39,DATA!$B$14:$AU$589,9,0)</f>
        <v>2020</v>
      </c>
      <c r="H39" s="497" t="str">
        <f>VLOOKUP($B39,DATA!$B$14:$AU$589,12,0)</f>
        <v>3895/QĐ-UBND ngày 30/10/2017</v>
      </c>
      <c r="I39" s="483">
        <f>VLOOKUP($B39,DATA!$B$14:$AU$589,13,0)</f>
        <v>4700</v>
      </c>
      <c r="J39" s="483">
        <f>VLOOKUP($B39,DATA!$B$14:$AU$589,15,0)</f>
        <v>2820</v>
      </c>
      <c r="K39" s="483">
        <f>VLOOKUP($B39,DATA!$B$14:$AU$589,26,0)</f>
        <v>0</v>
      </c>
      <c r="L39" s="483">
        <f>VLOOKUP($B39,DATA!$B$14:$AU$589,28,0)</f>
        <v>0</v>
      </c>
      <c r="M39" s="483">
        <f>VLOOKUP($B39,DATA!$B$14:$AU$589,29,0)</f>
        <v>2820</v>
      </c>
      <c r="N39" s="483">
        <f>VLOOKUP($B39,DATA!$B$14:$AU$589,30,0)</f>
        <v>2820</v>
      </c>
      <c r="O39" s="483">
        <f t="shared" si="6"/>
        <v>1410</v>
      </c>
      <c r="P39" s="497">
        <v>50</v>
      </c>
      <c r="Q39" s="497" t="s">
        <v>1648</v>
      </c>
      <c r="R39" s="497" t="s">
        <v>1606</v>
      </c>
      <c r="S39" s="69"/>
      <c r="T39" s="69"/>
      <c r="U39" s="69"/>
      <c r="V39" s="70"/>
      <c r="W39" s="69"/>
    </row>
    <row r="40" spans="1:23" s="67" customFormat="1" ht="33.6" customHeight="1">
      <c r="A40" s="484">
        <v>5</v>
      </c>
      <c r="B40" s="491" t="s">
        <v>1363</v>
      </c>
      <c r="C40" s="497" t="str">
        <f>VLOOKUP($B40,DATA!$B$14:$AU$589,6,0)</f>
        <v>Lệ Thủy</v>
      </c>
      <c r="D40" s="497" t="str">
        <f>VLOOKUP($B40,DATA!$B$14:$AU$589,36,0)</f>
        <v>Lộc Thủy</v>
      </c>
      <c r="E40" s="497" t="str">
        <f>VLOOKUP($B40,DATA!$B$14:$AU$589,37,0)</f>
        <v>GT</v>
      </c>
      <c r="F40" s="497">
        <f>VLOOKUP($B40,DATA!$B$14:$AU$589,7,0)</f>
        <v>2018</v>
      </c>
      <c r="G40" s="497">
        <f>VLOOKUP($B40,DATA!$B$14:$AU$589,9,0)</f>
        <v>2020</v>
      </c>
      <c r="H40" s="497" t="str">
        <f>VLOOKUP($B40,DATA!$B$14:$AU$589,12,0)</f>
        <v>3936/QĐ-UBND ngày 30/10/2017</v>
      </c>
      <c r="I40" s="483">
        <f>VLOOKUP($B40,DATA!$B$14:$AU$589,13,0)</f>
        <v>9000</v>
      </c>
      <c r="J40" s="483">
        <f>VLOOKUP($B40,DATA!$B$14:$AU$589,15,0)</f>
        <v>3000</v>
      </c>
      <c r="K40" s="483">
        <f>VLOOKUP($B40,DATA!$B$14:$AU$589,26,0)</f>
        <v>0</v>
      </c>
      <c r="L40" s="483">
        <f>VLOOKUP($B40,DATA!$B$14:$AU$589,28,0)</f>
        <v>0</v>
      </c>
      <c r="M40" s="483">
        <f>VLOOKUP($B40,DATA!$B$14:$AU$589,29,0)</f>
        <v>3000</v>
      </c>
      <c r="N40" s="483">
        <f>VLOOKUP($B40,DATA!$B$14:$AU$589,30,0)</f>
        <v>3000</v>
      </c>
      <c r="O40" s="483">
        <f t="shared" si="6"/>
        <v>1500</v>
      </c>
      <c r="P40" s="497">
        <v>50</v>
      </c>
      <c r="Q40" s="497" t="s">
        <v>1648</v>
      </c>
      <c r="R40" s="497" t="s">
        <v>1307</v>
      </c>
      <c r="S40" s="69"/>
      <c r="T40" s="69"/>
      <c r="U40" s="69"/>
      <c r="V40" s="70"/>
      <c r="W40" s="69"/>
    </row>
    <row r="41" spans="1:23" s="67" customFormat="1" ht="33.6" customHeight="1">
      <c r="A41" s="484">
        <v>6</v>
      </c>
      <c r="B41" s="488" t="s">
        <v>1647</v>
      </c>
      <c r="C41" s="497" t="str">
        <f>VLOOKUP($B41,DATA!$B$14:$AU$589,6,0)</f>
        <v>Quảng Ninh</v>
      </c>
      <c r="D41" s="497" t="str">
        <f>VLOOKUP($B41,DATA!$B$14:$AU$589,36,0)</f>
        <v>Trường Sơn</v>
      </c>
      <c r="E41" s="497" t="str">
        <f>VLOOKUP($B41,DATA!$B$14:$AU$589,37,0)</f>
        <v>GT</v>
      </c>
      <c r="F41" s="497">
        <f>VLOOKUP($B41,DATA!$B$14:$AU$589,7,0)</f>
        <v>2018</v>
      </c>
      <c r="G41" s="497">
        <f>VLOOKUP($B41,DATA!$B$14:$AU$589,9,0)</f>
        <v>2020</v>
      </c>
      <c r="H41" s="497" t="str">
        <f>VLOOKUP($B41,DATA!$B$14:$AU$589,12,0)</f>
        <v>3878a/QĐ-UBND ngày 30/10/2017</v>
      </c>
      <c r="I41" s="483">
        <f>VLOOKUP($B41,DATA!$B$14:$AU$589,13,0)</f>
        <v>6000</v>
      </c>
      <c r="J41" s="483">
        <f>VLOOKUP($B41,DATA!$B$14:$AU$589,15,0)</f>
        <v>3600</v>
      </c>
      <c r="K41" s="483">
        <f>VLOOKUP($B41,DATA!$B$14:$AU$589,26,0)</f>
        <v>0</v>
      </c>
      <c r="L41" s="483">
        <f>VLOOKUP($B41,DATA!$B$14:$AU$589,28,0)</f>
        <v>0</v>
      </c>
      <c r="M41" s="483">
        <f>VLOOKUP($B41,DATA!$B$14:$AU$589,29,0)</f>
        <v>3600</v>
      </c>
      <c r="N41" s="483">
        <f>VLOOKUP($B41,DATA!$B$14:$AU$589,30,0)</f>
        <v>3600</v>
      </c>
      <c r="O41" s="483">
        <f t="shared" si="6"/>
        <v>1800</v>
      </c>
      <c r="P41" s="497">
        <v>50</v>
      </c>
      <c r="Q41" s="497" t="s">
        <v>1648</v>
      </c>
      <c r="R41" s="497" t="s">
        <v>1407</v>
      </c>
      <c r="S41" s="69"/>
      <c r="T41" s="69"/>
      <c r="U41" s="69"/>
      <c r="V41" s="70"/>
      <c r="W41" s="69"/>
    </row>
    <row r="42" spans="1:23" s="67" customFormat="1" ht="33.6" customHeight="1">
      <c r="A42" s="484">
        <v>7</v>
      </c>
      <c r="B42" s="491" t="s">
        <v>1355</v>
      </c>
      <c r="C42" s="497" t="str">
        <f>VLOOKUP($B42,DATA!$B$14:$AU$589,6,0)</f>
        <v>Tuyên Hóa</v>
      </c>
      <c r="D42" s="497" t="str">
        <f>VLOOKUP($B42,DATA!$B$14:$AU$589,36,0)</f>
        <v>Đồng Hóa</v>
      </c>
      <c r="E42" s="497" t="str">
        <f>VLOOKUP($B42,DATA!$B$14:$AU$589,37,0)</f>
        <v>GT</v>
      </c>
      <c r="F42" s="497">
        <f>VLOOKUP($B42,DATA!$B$14:$AU$589,7,0)</f>
        <v>2018</v>
      </c>
      <c r="G42" s="497">
        <f>VLOOKUP($B42,DATA!$B$14:$AU$589,9,0)</f>
        <v>2020</v>
      </c>
      <c r="H42" s="497" t="str">
        <f>VLOOKUP($B42,DATA!$B$14:$AU$589,12,0)</f>
        <v>3967/QĐ-UBND ngày 31/10/2017</v>
      </c>
      <c r="I42" s="483">
        <f>VLOOKUP($B42,DATA!$B$14:$AU$589,13,0)</f>
        <v>9910</v>
      </c>
      <c r="J42" s="483">
        <f>VLOOKUP($B42,DATA!$B$14:$AU$589,15,0)</f>
        <v>5946</v>
      </c>
      <c r="K42" s="483">
        <f>VLOOKUP($B42,DATA!$B$14:$AU$589,26,0)</f>
        <v>0</v>
      </c>
      <c r="L42" s="483">
        <f>VLOOKUP($B42,DATA!$B$14:$AU$589,28,0)</f>
        <v>0</v>
      </c>
      <c r="M42" s="483">
        <f>VLOOKUP($B42,DATA!$B$14:$AU$589,29,0)</f>
        <v>5946</v>
      </c>
      <c r="N42" s="483">
        <f>VLOOKUP($B42,DATA!$B$14:$AU$589,30,0)</f>
        <v>5946</v>
      </c>
      <c r="O42" s="483">
        <f t="shared" si="6"/>
        <v>2973</v>
      </c>
      <c r="P42" s="497">
        <v>50</v>
      </c>
      <c r="Q42" s="497" t="s">
        <v>1648</v>
      </c>
      <c r="R42" s="497" t="s">
        <v>1357</v>
      </c>
      <c r="S42" s="69"/>
      <c r="T42" s="69"/>
      <c r="U42" s="69"/>
      <c r="V42" s="70"/>
      <c r="W42" s="69"/>
    </row>
    <row r="43" spans="1:23" s="67" customFormat="1" ht="33.6" customHeight="1">
      <c r="A43" s="484">
        <v>8</v>
      </c>
      <c r="B43" s="489" t="s">
        <v>1351</v>
      </c>
      <c r="C43" s="497" t="str">
        <f>VLOOKUP($B43,DATA!$B$14:$AU$589,6,0)</f>
        <v>Ba Đồn</v>
      </c>
      <c r="D43" s="497" t="str">
        <f>VLOOKUP($B43,DATA!$B$14:$AU$589,36,0)</f>
        <v>Quảng Phong</v>
      </c>
      <c r="E43" s="497" t="str">
        <f>VLOOKUP($B43,DATA!$B$14:$AU$589,37,0)</f>
        <v>GT</v>
      </c>
      <c r="F43" s="497">
        <f>VLOOKUP($B43,DATA!$B$14:$AU$589,7,0)</f>
        <v>2018</v>
      </c>
      <c r="G43" s="497">
        <f>VLOOKUP($B43,DATA!$B$14:$AU$589,9,0)</f>
        <v>2020</v>
      </c>
      <c r="H43" s="497" t="str">
        <f>VLOOKUP($B43,DATA!$B$14:$AU$589,12,0)</f>
        <v>3506/QĐ-UBND ngày 05/10/2017</v>
      </c>
      <c r="I43" s="483">
        <f>VLOOKUP($B43,DATA!$B$14:$AU$589,13,0)</f>
        <v>9956</v>
      </c>
      <c r="J43" s="483">
        <f>VLOOKUP($B43,DATA!$B$14:$AU$589,15,0)</f>
        <v>5973</v>
      </c>
      <c r="K43" s="483">
        <f>VLOOKUP($B43,DATA!$B$14:$AU$589,26,0)</f>
        <v>0</v>
      </c>
      <c r="L43" s="483">
        <f>VLOOKUP($B43,DATA!$B$14:$AU$589,28,0)</f>
        <v>0</v>
      </c>
      <c r="M43" s="483">
        <f>VLOOKUP($B43,DATA!$B$14:$AU$589,29,0)</f>
        <v>5973</v>
      </c>
      <c r="N43" s="483">
        <f>VLOOKUP($B43,DATA!$B$14:$AU$589,30,0)</f>
        <v>5973</v>
      </c>
      <c r="O43" s="483">
        <f t="shared" si="6"/>
        <v>2986.5</v>
      </c>
      <c r="P43" s="497">
        <v>50</v>
      </c>
      <c r="Q43" s="497" t="s">
        <v>1648</v>
      </c>
      <c r="R43" s="497" t="s">
        <v>1353</v>
      </c>
      <c r="S43" s="69"/>
      <c r="T43" s="69"/>
      <c r="U43" s="69"/>
      <c r="V43" s="70"/>
      <c r="W43" s="69"/>
    </row>
  </sheetData>
  <sortState ref="A39:Z45">
    <sortCondition ref="O39:O45"/>
  </sortState>
  <mergeCells count="22">
    <mergeCell ref="C4:C7"/>
    <mergeCell ref="P4:P7"/>
    <mergeCell ref="A4:A7"/>
    <mergeCell ref="B4:B7"/>
    <mergeCell ref="K4:L5"/>
    <mergeCell ref="O4:O7"/>
    <mergeCell ref="D4:D7"/>
    <mergeCell ref="E4:E7"/>
    <mergeCell ref="R4:R7"/>
    <mergeCell ref="K6:K7"/>
    <mergeCell ref="F4:F7"/>
    <mergeCell ref="G4:G7"/>
    <mergeCell ref="J6:J7"/>
    <mergeCell ref="H4:J4"/>
    <mergeCell ref="N6:N7"/>
    <mergeCell ref="M6:M7"/>
    <mergeCell ref="M4:N5"/>
    <mergeCell ref="L6:L7"/>
    <mergeCell ref="H5:H7"/>
    <mergeCell ref="I5:J5"/>
    <mergeCell ref="I6:I7"/>
    <mergeCell ref="Q4:Q7"/>
  </mergeCells>
  <printOptions horizontalCentered="1"/>
  <pageMargins left="0.70866141732283472" right="0.70866141732283472" top="0.74803149606299213" bottom="0.74803149606299213" header="0.31496062992125984" footer="0.31496062992125984"/>
  <pageSetup paperSize="9" scale="56" fitToHeight="0" orientation="landscape" r:id="rId1"/>
  <headerFoot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0"/>
  <sheetViews>
    <sheetView topLeftCell="A19" zoomScale="70" zoomScaleNormal="70" zoomScalePageLayoutView="60" workbookViewId="0">
      <selection activeCell="L22" sqref="L22"/>
    </sheetView>
  </sheetViews>
  <sheetFormatPr defaultColWidth="8" defaultRowHeight="15.75"/>
  <cols>
    <col min="1" max="1" width="5.625" style="67" customWidth="1"/>
    <col min="2" max="2" width="55.625" style="669" customWidth="1"/>
    <col min="3" max="3" width="12.625" style="71" customWidth="1"/>
    <col min="4" max="5" width="12.625" style="71" hidden="1" customWidth="1"/>
    <col min="6" max="6" width="6.5" style="71" hidden="1" customWidth="1"/>
    <col min="7" max="7" width="5.75" style="71" hidden="1" customWidth="1"/>
    <col min="8" max="8" width="8.625" style="71" customWidth="1"/>
    <col min="9" max="9" width="8.625" style="67" customWidth="1"/>
    <col min="10" max="10" width="16.625" style="67" customWidth="1"/>
    <col min="11" max="16" width="10.625" style="67" customWidth="1"/>
    <col min="17" max="17" width="10.625" style="72" customWidth="1"/>
    <col min="18" max="18" width="5.625" style="71" customWidth="1"/>
    <col min="19" max="19" width="21.5" style="71" customWidth="1"/>
    <col min="20" max="20" width="20.375" style="69" hidden="1" customWidth="1"/>
    <col min="21" max="21" width="11.875" style="69" hidden="1" customWidth="1"/>
    <col min="22" max="22" width="14.875" style="69" hidden="1" customWidth="1"/>
    <col min="23" max="23" width="12.125" style="67" bestFit="1" customWidth="1"/>
    <col min="24" max="24" width="24.625" style="67" customWidth="1"/>
    <col min="25" max="25" width="4.75" style="67" customWidth="1"/>
    <col min="26" max="26" width="9.125" style="67" bestFit="1" customWidth="1"/>
    <col min="27" max="16384" width="8" style="67"/>
  </cols>
  <sheetData>
    <row r="1" spans="1:24" s="68" customFormat="1">
      <c r="A1" s="68" t="s">
        <v>2139</v>
      </c>
      <c r="B1" s="666"/>
      <c r="C1" s="108"/>
      <c r="D1" s="108"/>
      <c r="E1" s="108"/>
      <c r="F1" s="108"/>
      <c r="G1" s="108"/>
      <c r="H1" s="108"/>
      <c r="Q1" s="109"/>
      <c r="R1" s="108"/>
      <c r="S1" s="108"/>
      <c r="T1" s="110"/>
      <c r="U1" s="110"/>
      <c r="V1" s="110"/>
    </row>
    <row r="2" spans="1:24" s="49" customFormat="1">
      <c r="A2" s="49" t="s">
        <v>1589</v>
      </c>
      <c r="B2" s="667"/>
      <c r="C2" s="73"/>
      <c r="D2" s="73"/>
      <c r="E2" s="73"/>
      <c r="F2" s="73"/>
      <c r="G2" s="73"/>
      <c r="H2" s="94"/>
      <c r="I2" s="95"/>
      <c r="J2" s="73"/>
      <c r="Q2" s="50"/>
      <c r="R2" s="74"/>
      <c r="S2" s="74"/>
    </row>
    <row r="3" spans="1:24" s="87" customFormat="1">
      <c r="B3" s="668"/>
      <c r="C3" s="89"/>
      <c r="D3" s="89"/>
      <c r="E3" s="89"/>
      <c r="F3" s="89"/>
      <c r="G3" s="89"/>
      <c r="H3" s="96"/>
      <c r="I3" s="97"/>
      <c r="J3" s="89"/>
      <c r="Q3" s="88"/>
      <c r="R3" s="92"/>
      <c r="S3" s="93" t="s">
        <v>650</v>
      </c>
      <c r="T3" s="93" t="s">
        <v>650</v>
      </c>
    </row>
    <row r="4" spans="1:24" s="8" customFormat="1">
      <c r="A4" s="1771" t="s">
        <v>469</v>
      </c>
      <c r="B4" s="1777" t="s">
        <v>1</v>
      </c>
      <c r="C4" s="1774" t="s">
        <v>651</v>
      </c>
      <c r="D4" s="1787" t="s">
        <v>2060</v>
      </c>
      <c r="E4" s="1787" t="s">
        <v>5</v>
      </c>
      <c r="F4" s="1787" t="s">
        <v>2107</v>
      </c>
      <c r="G4" s="1787" t="s">
        <v>2108</v>
      </c>
      <c r="H4" s="1778" t="s">
        <v>341</v>
      </c>
      <c r="I4" s="1779" t="s">
        <v>165</v>
      </c>
      <c r="J4" s="1772" t="s">
        <v>3</v>
      </c>
      <c r="K4" s="1772"/>
      <c r="L4" s="1773"/>
      <c r="M4" s="1767" t="s">
        <v>788</v>
      </c>
      <c r="N4" s="1767"/>
      <c r="O4" s="1771" t="s">
        <v>611</v>
      </c>
      <c r="P4" s="1771"/>
      <c r="Q4" s="1764" t="s">
        <v>790</v>
      </c>
      <c r="R4" s="1764" t="s">
        <v>628</v>
      </c>
      <c r="S4" s="1767" t="s">
        <v>4</v>
      </c>
      <c r="T4" s="1767" t="s">
        <v>4</v>
      </c>
    </row>
    <row r="5" spans="1:24" s="8" customFormat="1">
      <c r="A5" s="1771"/>
      <c r="B5" s="1777"/>
      <c r="C5" s="1775"/>
      <c r="D5" s="1775"/>
      <c r="E5" s="1775"/>
      <c r="F5" s="1775"/>
      <c r="G5" s="1775"/>
      <c r="H5" s="1778"/>
      <c r="I5" s="1779"/>
      <c r="J5" s="1774" t="s">
        <v>613</v>
      </c>
      <c r="K5" s="1767" t="s">
        <v>6</v>
      </c>
      <c r="L5" s="1767"/>
      <c r="M5" s="1767"/>
      <c r="N5" s="1767"/>
      <c r="O5" s="1771"/>
      <c r="P5" s="1771"/>
      <c r="Q5" s="1765"/>
      <c r="R5" s="1765"/>
      <c r="S5" s="1767"/>
      <c r="T5" s="1767"/>
    </row>
    <row r="6" spans="1:24" s="8" customFormat="1">
      <c r="A6" s="1771"/>
      <c r="B6" s="1777"/>
      <c r="C6" s="1775"/>
      <c r="D6" s="1775"/>
      <c r="E6" s="1775"/>
      <c r="F6" s="1775"/>
      <c r="G6" s="1775"/>
      <c r="H6" s="1778"/>
      <c r="I6" s="1779"/>
      <c r="J6" s="1775"/>
      <c r="K6" s="1764" t="s">
        <v>8</v>
      </c>
      <c r="L6" s="1769" t="s">
        <v>615</v>
      </c>
      <c r="M6" s="1767" t="s">
        <v>8</v>
      </c>
      <c r="N6" s="1769" t="s">
        <v>615</v>
      </c>
      <c r="O6" s="1764" t="s">
        <v>8</v>
      </c>
      <c r="P6" s="1764" t="s">
        <v>789</v>
      </c>
      <c r="Q6" s="1765"/>
      <c r="R6" s="1765"/>
      <c r="S6" s="1767"/>
      <c r="T6" s="1767"/>
    </row>
    <row r="7" spans="1:24" s="8" customFormat="1">
      <c r="A7" s="1771"/>
      <c r="B7" s="1777"/>
      <c r="C7" s="1776"/>
      <c r="D7" s="1776"/>
      <c r="E7" s="1776"/>
      <c r="F7" s="1776"/>
      <c r="G7" s="1776"/>
      <c r="H7" s="1778"/>
      <c r="I7" s="1779"/>
      <c r="J7" s="1776"/>
      <c r="K7" s="1766"/>
      <c r="L7" s="1770"/>
      <c r="M7" s="1767"/>
      <c r="N7" s="1770"/>
      <c r="O7" s="1766"/>
      <c r="P7" s="1766"/>
      <c r="Q7" s="1766"/>
      <c r="R7" s="1766"/>
      <c r="S7" s="1768"/>
      <c r="T7" s="1768"/>
    </row>
    <row r="8" spans="1:24" s="68" customFormat="1" ht="35.450000000000003" customHeight="1">
      <c r="A8" s="558"/>
      <c r="B8" s="559" t="s">
        <v>470</v>
      </c>
      <c r="C8" s="558"/>
      <c r="D8" s="717"/>
      <c r="E8" s="717"/>
      <c r="F8" s="717"/>
      <c r="G8" s="717"/>
      <c r="H8" s="558"/>
      <c r="I8" s="558"/>
      <c r="J8" s="558"/>
      <c r="K8" s="20">
        <f t="shared" ref="K8:Q8" si="0">SUBTOTAL(109, K9:K152)</f>
        <v>442180</v>
      </c>
      <c r="L8" s="20">
        <f t="shared" si="0"/>
        <v>309210</v>
      </c>
      <c r="M8" s="20">
        <f t="shared" si="0"/>
        <v>0</v>
      </c>
      <c r="N8" s="20">
        <f t="shared" si="0"/>
        <v>0</v>
      </c>
      <c r="O8" s="20">
        <f t="shared" si="0"/>
        <v>185026</v>
      </c>
      <c r="P8" s="20">
        <f t="shared" si="0"/>
        <v>185026</v>
      </c>
      <c r="Q8" s="20">
        <f t="shared" si="0"/>
        <v>86734.240000000165</v>
      </c>
      <c r="R8" s="560"/>
      <c r="S8" s="561"/>
      <c r="T8" s="558"/>
      <c r="X8" s="744"/>
    </row>
    <row r="9" spans="1:24" s="662" customFormat="1" ht="35.450000000000003" customHeight="1">
      <c r="A9" s="732" t="s">
        <v>471</v>
      </c>
      <c r="B9" s="733" t="s">
        <v>1626</v>
      </c>
      <c r="C9" s="732"/>
      <c r="D9" s="732"/>
      <c r="E9" s="732"/>
      <c r="F9" s="732"/>
      <c r="G9" s="732"/>
      <c r="H9" s="732"/>
      <c r="I9" s="732"/>
      <c r="J9" s="732"/>
      <c r="K9" s="729">
        <f t="shared" ref="K9:Q9" si="1">SUBTOTAL(109, K10:K23)</f>
        <v>94700</v>
      </c>
      <c r="L9" s="729">
        <f t="shared" si="1"/>
        <v>56820</v>
      </c>
      <c r="M9" s="729">
        <f t="shared" si="1"/>
        <v>0</v>
      </c>
      <c r="N9" s="729">
        <f t="shared" si="1"/>
        <v>0</v>
      </c>
      <c r="O9" s="729">
        <f t="shared" si="1"/>
        <v>34932</v>
      </c>
      <c r="P9" s="729">
        <f t="shared" si="1"/>
        <v>34932</v>
      </c>
      <c r="Q9" s="729">
        <f t="shared" si="1"/>
        <v>17466</v>
      </c>
      <c r="R9" s="729"/>
      <c r="S9" s="729"/>
      <c r="T9" s="729" t="s">
        <v>702</v>
      </c>
    </row>
    <row r="10" spans="1:24" ht="35.450000000000003" customHeight="1">
      <c r="A10" s="484">
        <v>1</v>
      </c>
      <c r="B10" s="491" t="s">
        <v>1436</v>
      </c>
      <c r="C10" s="497" t="str">
        <f>VLOOKUP($B10,DATA!$B$14:$AU$589,6,0)</f>
        <v>Quảng Ninh</v>
      </c>
      <c r="D10" s="497" t="str">
        <f>VLOOKUP($B10,DATA!$B$14:$AU$589,36,0)</f>
        <v>Võ Ninh</v>
      </c>
      <c r="E10" s="497" t="str">
        <f>VLOOKUP($B10,DATA!$B$14:$AU$589,37,0)</f>
        <v>NN-TL</v>
      </c>
      <c r="F10" s="497" t="s">
        <v>2106</v>
      </c>
      <c r="G10" s="497"/>
      <c r="H10" s="497">
        <f>VLOOKUP($B10,DATA!$B$14:$AU$589,7,0)</f>
        <v>2019</v>
      </c>
      <c r="I10" s="497">
        <f>VLOOKUP($B10,DATA!$B$14:$AU$589,9,0)</f>
        <v>2020</v>
      </c>
      <c r="J10" s="497" t="str">
        <f>VLOOKUP($B10,DATA!$B$14:$AU$589,12,0)</f>
        <v>2311/QĐ-UBND ngày 13/7/2018</v>
      </c>
      <c r="K10" s="483">
        <f>VLOOKUP($B10,DATA!$B$14:$AU$589,13,0)</f>
        <v>3500</v>
      </c>
      <c r="L10" s="483">
        <f>VLOOKUP($B10,DATA!$B$14:$AU$589,15,0)</f>
        <v>2100</v>
      </c>
      <c r="M10" s="483">
        <f>VLOOKUP($B10,DATA!$B$14:$AU$589,26,0)</f>
        <v>0</v>
      </c>
      <c r="N10" s="483">
        <f>VLOOKUP($B10,DATA!$B$14:$AU$589,28,0)</f>
        <v>0</v>
      </c>
      <c r="O10" s="483">
        <f>VLOOKUP($B10,DATA!$B$14:$AU$589,29,0)</f>
        <v>2100</v>
      </c>
      <c r="P10" s="483">
        <f>VLOOKUP($B10,DATA!$B$14:$AU$589,30,0)</f>
        <v>2100</v>
      </c>
      <c r="Q10" s="483">
        <f t="shared" ref="Q10" si="2">P10*R10/100</f>
        <v>1050</v>
      </c>
      <c r="R10" s="497">
        <v>50</v>
      </c>
      <c r="S10" s="515" t="s">
        <v>1629</v>
      </c>
      <c r="T10" s="497" t="s">
        <v>1607</v>
      </c>
    </row>
    <row r="11" spans="1:24" s="68" customFormat="1" ht="35.450000000000003" customHeight="1">
      <c r="A11" s="484">
        <v>2</v>
      </c>
      <c r="B11" s="491" t="s">
        <v>1322</v>
      </c>
      <c r="C11" s="497" t="str">
        <f>VLOOKUP($B11,DATA!$B$14:$AU$589,6,0)</f>
        <v>Quảng Trạch</v>
      </c>
      <c r="D11" s="497" t="str">
        <f>VLOOKUP($B11,DATA!$B$14:$AU$589,36,0)</f>
        <v>Quảng Phương</v>
      </c>
      <c r="E11" s="497" t="str">
        <f>VLOOKUP($B11,DATA!$B$14:$AU$589,37,0)</f>
        <v>GT</v>
      </c>
      <c r="F11" s="497" t="s">
        <v>2106</v>
      </c>
      <c r="G11" s="497"/>
      <c r="H11" s="497">
        <f>VLOOKUP($B11,DATA!$B$14:$AU$589,7,0)</f>
        <v>2019</v>
      </c>
      <c r="I11" s="497">
        <f>VLOOKUP($B11,DATA!$B$14:$AU$589,9,0)</f>
        <v>2021</v>
      </c>
      <c r="J11" s="497" t="str">
        <f>VLOOKUP($B11,DATA!$B$14:$AU$589,12,0)</f>
        <v>3889/QĐ-UBND ngày 31/10/2018</v>
      </c>
      <c r="K11" s="483">
        <f>VLOOKUP($B11,DATA!$B$14:$AU$589,13,0)</f>
        <v>3500</v>
      </c>
      <c r="L11" s="483">
        <f>VLOOKUP($B11,DATA!$B$14:$AU$589,15,0)</f>
        <v>2100</v>
      </c>
      <c r="M11" s="483">
        <f>VLOOKUP($B11,DATA!$B$14:$AU$589,26,0)</f>
        <v>0</v>
      </c>
      <c r="N11" s="483">
        <f>VLOOKUP($B11,DATA!$B$14:$AU$589,28,0)</f>
        <v>0</v>
      </c>
      <c r="O11" s="483">
        <f>VLOOKUP($B11,DATA!$B$14:$AU$589,29,0)</f>
        <v>1260</v>
      </c>
      <c r="P11" s="483">
        <f>VLOOKUP($B11,DATA!$B$14:$AU$589,30,0)</f>
        <v>1260</v>
      </c>
      <c r="Q11" s="483">
        <f t="shared" ref="Q11:Q23" si="3">P11*R11/100</f>
        <v>630</v>
      </c>
      <c r="R11" s="497">
        <v>50</v>
      </c>
      <c r="S11" s="515" t="s">
        <v>1629</v>
      </c>
      <c r="T11" s="497" t="str">
        <f>VLOOKUP($B11,DATA!$B$14:$AU$589,33,0)</f>
        <v>Bố trí KH 2019 theo QĐ CTĐT</v>
      </c>
      <c r="U11" s="67"/>
      <c r="V11" s="67"/>
    </row>
    <row r="12" spans="1:24" ht="35.450000000000003" customHeight="1">
      <c r="A12" s="484">
        <v>3</v>
      </c>
      <c r="B12" s="491" t="s">
        <v>1332</v>
      </c>
      <c r="C12" s="497" t="str">
        <f>VLOOKUP($B12,DATA!$B$14:$AU$589,6,0)</f>
        <v>Quảng Ninh</v>
      </c>
      <c r="D12" s="497" t="str">
        <f>VLOOKUP($B12,DATA!$B$14:$AU$589,36,0)</f>
        <v>Duy Ninh</v>
      </c>
      <c r="E12" s="497" t="str">
        <f>VLOOKUP($B12,DATA!$B$14:$AU$589,37,0)</f>
        <v>GT</v>
      </c>
      <c r="F12" s="497" t="s">
        <v>2106</v>
      </c>
      <c r="G12" s="497"/>
      <c r="H12" s="497">
        <f>VLOOKUP($B12,DATA!$B$14:$AU$589,7,0)</f>
        <v>2019</v>
      </c>
      <c r="I12" s="497">
        <f>VLOOKUP($B12,DATA!$B$14:$AU$589,9,0)</f>
        <v>2021</v>
      </c>
      <c r="J12" s="497" t="str">
        <f>VLOOKUP($B12,DATA!$B$14:$AU$589,12,0)</f>
        <v>3833/QĐ-UBND ngày 31/10/2018</v>
      </c>
      <c r="K12" s="483">
        <f>VLOOKUP($B12,DATA!$B$14:$AU$589,13,0)</f>
        <v>4500</v>
      </c>
      <c r="L12" s="483">
        <f>VLOOKUP($B12,DATA!$B$14:$AU$589,15,0)</f>
        <v>2700</v>
      </c>
      <c r="M12" s="483">
        <f>VLOOKUP($B12,DATA!$B$14:$AU$589,26,0)</f>
        <v>0</v>
      </c>
      <c r="N12" s="483">
        <f>VLOOKUP($B12,DATA!$B$14:$AU$589,28,0)</f>
        <v>0</v>
      </c>
      <c r="O12" s="483">
        <f>VLOOKUP($B12,DATA!$B$14:$AU$589,29,0)</f>
        <v>1620</v>
      </c>
      <c r="P12" s="483">
        <f>VLOOKUP($B12,DATA!$B$14:$AU$589,30,0)</f>
        <v>1620</v>
      </c>
      <c r="Q12" s="483">
        <f t="shared" si="3"/>
        <v>810</v>
      </c>
      <c r="R12" s="497">
        <v>50</v>
      </c>
      <c r="S12" s="515" t="s">
        <v>1629</v>
      </c>
      <c r="T12" s="497" t="str">
        <f>VLOOKUP($B12,DATA!$B$14:$AU$589,33,0)</f>
        <v>TMĐT giảm từ 5000 xuống 4500</v>
      </c>
    </row>
    <row r="13" spans="1:24" ht="35.450000000000003" customHeight="1">
      <c r="A13" s="484">
        <v>4</v>
      </c>
      <c r="B13" s="491" t="s">
        <v>1305</v>
      </c>
      <c r="C13" s="497" t="str">
        <f>VLOOKUP($B13,DATA!$B$14:$AU$589,6,0)</f>
        <v>Tuyên Hóa</v>
      </c>
      <c r="D13" s="497" t="str">
        <f>VLOOKUP($B13,DATA!$B$14:$AU$589,36,0)</f>
        <v>Sơn Hóa</v>
      </c>
      <c r="E13" s="497" t="str">
        <f>VLOOKUP($B13,DATA!$B$14:$AU$589,37,0)</f>
        <v>GT</v>
      </c>
      <c r="F13" s="497" t="s">
        <v>2106</v>
      </c>
      <c r="G13" s="497"/>
      <c r="H13" s="497">
        <f>VLOOKUP($B13,DATA!$B$14:$AU$589,7,0)</f>
        <v>2019</v>
      </c>
      <c r="I13" s="497">
        <f>VLOOKUP($B13,DATA!$B$14:$AU$589,9,0)</f>
        <v>2021</v>
      </c>
      <c r="J13" s="497" t="str">
        <f>VLOOKUP($B13,DATA!$B$14:$AU$589,12,0)</f>
        <v>3968/QĐ-UBND ngày 31/10/2017</v>
      </c>
      <c r="K13" s="483">
        <f>VLOOKUP($B13,DATA!$B$14:$AU$589,13,0)</f>
        <v>5000</v>
      </c>
      <c r="L13" s="483">
        <f>VLOOKUP($B13,DATA!$B$14:$AU$589,15,0)</f>
        <v>3000</v>
      </c>
      <c r="M13" s="483">
        <f>VLOOKUP($B13,DATA!$B$14:$AU$589,26,0)</f>
        <v>0</v>
      </c>
      <c r="N13" s="483">
        <f>VLOOKUP($B13,DATA!$B$14:$AU$589,28,0)</f>
        <v>0</v>
      </c>
      <c r="O13" s="483">
        <f>VLOOKUP($B13,DATA!$B$14:$AU$589,29,0)</f>
        <v>1800</v>
      </c>
      <c r="P13" s="483">
        <f>VLOOKUP($B13,DATA!$B$14:$AU$589,30,0)</f>
        <v>1800</v>
      </c>
      <c r="Q13" s="483">
        <f t="shared" si="3"/>
        <v>900</v>
      </c>
      <c r="R13" s="497">
        <v>50</v>
      </c>
      <c r="S13" s="515" t="s">
        <v>1629</v>
      </c>
      <c r="T13" s="497" t="str">
        <f>VLOOKUP($B13,DATA!$B$14:$AU$589,33,0)</f>
        <v>Bố trí KH 2019 theo QĐ CTĐT</v>
      </c>
    </row>
    <row r="14" spans="1:24" ht="35.450000000000003" customHeight="1">
      <c r="A14" s="484">
        <v>5</v>
      </c>
      <c r="B14" s="491" t="s">
        <v>1319</v>
      </c>
      <c r="C14" s="497" t="str">
        <f>VLOOKUP($B14,DATA!$B$14:$AU$589,6,0)</f>
        <v>Quảng Trạch</v>
      </c>
      <c r="D14" s="497" t="str">
        <f>VLOOKUP($B14,DATA!$B$14:$AU$589,36,0)</f>
        <v>Quảng Trường</v>
      </c>
      <c r="E14" s="497" t="str">
        <f>VLOOKUP($B14,DATA!$B$14:$AU$589,37,0)</f>
        <v>GT</v>
      </c>
      <c r="F14" s="497" t="s">
        <v>2106</v>
      </c>
      <c r="G14" s="497"/>
      <c r="H14" s="497">
        <f>VLOOKUP($B14,DATA!$B$14:$AU$589,7,0)</f>
        <v>2019</v>
      </c>
      <c r="I14" s="497">
        <f>VLOOKUP($B14,DATA!$B$14:$AU$589,9,0)</f>
        <v>2021</v>
      </c>
      <c r="J14" s="497" t="str">
        <f>VLOOKUP($B14,DATA!$B$14:$AU$589,12,0)</f>
        <v>3888/QĐ-UBND ngày 31/10/2018</v>
      </c>
      <c r="K14" s="483">
        <f>VLOOKUP($B14,DATA!$B$14:$AU$589,13,0)</f>
        <v>5000</v>
      </c>
      <c r="L14" s="483">
        <f>VLOOKUP($B14,DATA!$B$14:$AU$589,15,0)</f>
        <v>3000</v>
      </c>
      <c r="M14" s="483">
        <f>VLOOKUP($B14,DATA!$B$14:$AU$589,26,0)</f>
        <v>0</v>
      </c>
      <c r="N14" s="483">
        <f>VLOOKUP($B14,DATA!$B$14:$AU$589,28,0)</f>
        <v>0</v>
      </c>
      <c r="O14" s="483">
        <f>VLOOKUP($B14,DATA!$B$14:$AU$589,29,0)</f>
        <v>1800</v>
      </c>
      <c r="P14" s="483">
        <f>VLOOKUP($B14,DATA!$B$14:$AU$589,30,0)</f>
        <v>1800</v>
      </c>
      <c r="Q14" s="483">
        <f t="shared" si="3"/>
        <v>900</v>
      </c>
      <c r="R14" s="497">
        <v>50</v>
      </c>
      <c r="S14" s="515" t="s">
        <v>1629</v>
      </c>
      <c r="T14" s="497" t="str">
        <f>VLOOKUP($B14,DATA!$B$14:$AU$589,33,0)</f>
        <v>Bố trí KH 2019 theo QĐ CTĐT</v>
      </c>
    </row>
    <row r="15" spans="1:24" ht="35.450000000000003" customHeight="1">
      <c r="A15" s="484">
        <v>6</v>
      </c>
      <c r="B15" s="491" t="s">
        <v>1324</v>
      </c>
      <c r="C15" s="497" t="str">
        <f>VLOOKUP($B15,DATA!$B$14:$AU$589,6,0)</f>
        <v>Tuyên Hóa</v>
      </c>
      <c r="D15" s="497" t="str">
        <f>VLOOKUP($B15,DATA!$B$14:$AU$589,36,0)</f>
        <v>Cao Quảng</v>
      </c>
      <c r="E15" s="497" t="str">
        <f>VLOOKUP($B15,DATA!$B$14:$AU$589,37,0)</f>
        <v>GT</v>
      </c>
      <c r="F15" s="497" t="s">
        <v>2106</v>
      </c>
      <c r="G15" s="497"/>
      <c r="H15" s="497">
        <f>VLOOKUP($B15,DATA!$B$14:$AU$589,7,0)</f>
        <v>2019</v>
      </c>
      <c r="I15" s="497">
        <f>VLOOKUP($B15,DATA!$B$14:$AU$589,9,0)</f>
        <v>2021</v>
      </c>
      <c r="J15" s="497" t="str">
        <f>VLOOKUP($B15,DATA!$B$14:$AU$589,12,0)</f>
        <v>3728/QĐ-UBND ngày 30/10/2018</v>
      </c>
      <c r="K15" s="483">
        <f>VLOOKUP($B15,DATA!$B$14:$AU$589,13,0)</f>
        <v>5500</v>
      </c>
      <c r="L15" s="483">
        <f>VLOOKUP($B15,DATA!$B$14:$AU$589,15,0)</f>
        <v>3300</v>
      </c>
      <c r="M15" s="483">
        <f>VLOOKUP($B15,DATA!$B$14:$AU$589,26,0)</f>
        <v>0</v>
      </c>
      <c r="N15" s="483">
        <f>VLOOKUP($B15,DATA!$B$14:$AU$589,28,0)</f>
        <v>0</v>
      </c>
      <c r="O15" s="483">
        <f>VLOOKUP($B15,DATA!$B$14:$AU$589,29,0)</f>
        <v>1980</v>
      </c>
      <c r="P15" s="483">
        <f>VLOOKUP($B15,DATA!$B$14:$AU$589,30,0)</f>
        <v>1980</v>
      </c>
      <c r="Q15" s="483">
        <f t="shared" si="3"/>
        <v>990</v>
      </c>
      <c r="R15" s="497">
        <v>50</v>
      </c>
      <c r="S15" s="515" t="s">
        <v>1629</v>
      </c>
      <c r="T15" s="497" t="str">
        <f>VLOOKUP($B15,DATA!$B$14:$AU$589,33,0)</f>
        <v>QĐ CTĐT không bố trí từng năm</v>
      </c>
    </row>
    <row r="16" spans="1:24" ht="35.450000000000003" customHeight="1">
      <c r="A16" s="484">
        <v>7</v>
      </c>
      <c r="B16" s="491" t="s">
        <v>1317</v>
      </c>
      <c r="C16" s="497" t="str">
        <f>VLOOKUP($B16,DATA!$B$14:$AU$589,6,0)</f>
        <v>Tuyên Hóa</v>
      </c>
      <c r="D16" s="497" t="str">
        <f>VLOOKUP($B16,DATA!$B$14:$AU$589,36,0)</f>
        <v>Phong Hóa</v>
      </c>
      <c r="E16" s="497" t="str">
        <f>VLOOKUP($B16,DATA!$B$14:$AU$589,37,0)</f>
        <v>GT</v>
      </c>
      <c r="F16" s="497" t="s">
        <v>2106</v>
      </c>
      <c r="G16" s="497"/>
      <c r="H16" s="497">
        <f>VLOOKUP($B16,DATA!$B$14:$AU$589,7,0)</f>
        <v>2019</v>
      </c>
      <c r="I16" s="497">
        <f>VLOOKUP($B16,DATA!$B$14:$AU$589,9,0)</f>
        <v>2021</v>
      </c>
      <c r="J16" s="497" t="str">
        <f>VLOOKUP($B16,DATA!$B$14:$AU$589,12,0)</f>
        <v>3224/QĐ-UBND ngày 27/9/2018</v>
      </c>
      <c r="K16" s="483">
        <f>VLOOKUP($B16,DATA!$B$14:$AU$589,13,0)</f>
        <v>6000</v>
      </c>
      <c r="L16" s="483">
        <f>VLOOKUP($B16,DATA!$B$14:$AU$589,15,0)</f>
        <v>3600</v>
      </c>
      <c r="M16" s="483">
        <f>VLOOKUP($B16,DATA!$B$14:$AU$589,26,0)</f>
        <v>0</v>
      </c>
      <c r="N16" s="483">
        <f>VLOOKUP($B16,DATA!$B$14:$AU$589,28,0)</f>
        <v>0</v>
      </c>
      <c r="O16" s="483">
        <f>VLOOKUP($B16,DATA!$B$14:$AU$589,29,0)</f>
        <v>2160</v>
      </c>
      <c r="P16" s="483">
        <f>VLOOKUP($B16,DATA!$B$14:$AU$589,30,0)</f>
        <v>2160</v>
      </c>
      <c r="Q16" s="483">
        <f t="shared" si="3"/>
        <v>1080</v>
      </c>
      <c r="R16" s="497">
        <v>50</v>
      </c>
      <c r="S16" s="515" t="s">
        <v>1629</v>
      </c>
      <c r="T16" s="497" t="str">
        <f>VLOOKUP($B16,DATA!$B$14:$AU$589,33,0)</f>
        <v>Bố trí vốn vượt thu 1,5 tỷ cho công trình Sửa chữa, nâng cấp tuyến đường liên thôn xã Phong Hóa, huyện Tuyên Hóa; có sai khác tên so danh mục này</v>
      </c>
    </row>
    <row r="17" spans="1:22" ht="35.450000000000003" customHeight="1">
      <c r="A17" s="484">
        <v>8</v>
      </c>
      <c r="B17" s="491" t="s">
        <v>1340</v>
      </c>
      <c r="C17" s="497" t="str">
        <f>VLOOKUP($B17,DATA!$B$14:$AU$589,6,0)</f>
        <v>Ba Đồn</v>
      </c>
      <c r="D17" s="497" t="str">
        <f>VLOOKUP($B17,DATA!$B$14:$AU$589,36,0)</f>
        <v>Quảng Long</v>
      </c>
      <c r="E17" s="497" t="str">
        <f>VLOOKUP($B17,DATA!$B$14:$AU$589,37,0)</f>
        <v>GT</v>
      </c>
      <c r="F17" s="497" t="s">
        <v>2106</v>
      </c>
      <c r="G17" s="497"/>
      <c r="H17" s="497">
        <f>VLOOKUP($B17,DATA!$B$14:$AU$589,7,0)</f>
        <v>2019</v>
      </c>
      <c r="I17" s="497">
        <f>VLOOKUP($B17,DATA!$B$14:$AU$589,9,0)</f>
        <v>2021</v>
      </c>
      <c r="J17" s="497" t="str">
        <f>VLOOKUP($B17,DATA!$B$14:$AU$589,12,0)</f>
        <v>3886/QĐ-UBND ngày 31/10/2018</v>
      </c>
      <c r="K17" s="483">
        <f>VLOOKUP($B17,DATA!$B$14:$AU$589,13,0)</f>
        <v>6000</v>
      </c>
      <c r="L17" s="483">
        <f>VLOOKUP($B17,DATA!$B$14:$AU$589,15,0)</f>
        <v>3600</v>
      </c>
      <c r="M17" s="483">
        <f>VLOOKUP($B17,DATA!$B$14:$AU$589,26,0)</f>
        <v>0</v>
      </c>
      <c r="N17" s="483">
        <f>VLOOKUP($B17,DATA!$B$14:$AU$589,28,0)</f>
        <v>0</v>
      </c>
      <c r="O17" s="483">
        <f>VLOOKUP($B17,DATA!$B$14:$AU$589,29,0)</f>
        <v>2160</v>
      </c>
      <c r="P17" s="483">
        <f>VLOOKUP($B17,DATA!$B$14:$AU$589,30,0)</f>
        <v>2160</v>
      </c>
      <c r="Q17" s="483">
        <f t="shared" si="3"/>
        <v>1080</v>
      </c>
      <c r="R17" s="497">
        <v>50</v>
      </c>
      <c r="S17" s="515" t="s">
        <v>1629</v>
      </c>
      <c r="T17" s="497" t="str">
        <f>VLOOKUP($B17,DATA!$B$14:$AU$589,33,0)</f>
        <v>QĐ CTĐT không bố trí từng năm</v>
      </c>
    </row>
    <row r="18" spans="1:22" ht="35.450000000000003" customHeight="1">
      <c r="A18" s="484">
        <v>9</v>
      </c>
      <c r="B18" s="490" t="s">
        <v>1329</v>
      </c>
      <c r="C18" s="497" t="str">
        <f>VLOOKUP($B18,DATA!$B$14:$AU$589,6,0)</f>
        <v>Quảng Ninh</v>
      </c>
      <c r="D18" s="497" t="str">
        <f>VLOOKUP($B18,DATA!$B$14:$AU$589,36,0)</f>
        <v>Duy Ninh</v>
      </c>
      <c r="E18" s="497" t="str">
        <f>VLOOKUP($B18,DATA!$B$14:$AU$589,37,0)</f>
        <v>GT</v>
      </c>
      <c r="F18" s="497" t="s">
        <v>2106</v>
      </c>
      <c r="G18" s="497"/>
      <c r="H18" s="497">
        <f>VLOOKUP($B18,DATA!$B$14:$AU$589,7,0)</f>
        <v>2019</v>
      </c>
      <c r="I18" s="497">
        <f>VLOOKUP($B18,DATA!$B$14:$AU$589,9,0)</f>
        <v>2021</v>
      </c>
      <c r="J18" s="497" t="str">
        <f>VLOOKUP($B18,DATA!$B$14:$AU$589,12,0)</f>
        <v>3869/QĐ-UBND ngày 31/10/2018</v>
      </c>
      <c r="K18" s="483">
        <f>VLOOKUP($B18,DATA!$B$14:$AU$589,13,0)</f>
        <v>6700</v>
      </c>
      <c r="L18" s="483">
        <f>VLOOKUP($B18,DATA!$B$14:$AU$589,15,0)</f>
        <v>4020</v>
      </c>
      <c r="M18" s="483">
        <f>VLOOKUP($B18,DATA!$B$14:$AU$589,26,0)</f>
        <v>0</v>
      </c>
      <c r="N18" s="483">
        <f>VLOOKUP($B18,DATA!$B$14:$AU$589,28,0)</f>
        <v>0</v>
      </c>
      <c r="O18" s="483">
        <f>VLOOKUP($B18,DATA!$B$14:$AU$589,29,0)</f>
        <v>2412</v>
      </c>
      <c r="P18" s="483">
        <f>VLOOKUP($B18,DATA!$B$14:$AU$589,30,0)</f>
        <v>2412</v>
      </c>
      <c r="Q18" s="483">
        <f t="shared" si="3"/>
        <v>1206</v>
      </c>
      <c r="R18" s="497">
        <v>50</v>
      </c>
      <c r="S18" s="515" t="s">
        <v>1629</v>
      </c>
      <c r="T18" s="497" t="str">
        <f>VLOOKUP($B18,DATA!$B$14:$AU$589,33,0)</f>
        <v>TMĐT giảm từ 
8500 xuống 6700</v>
      </c>
      <c r="U18" s="742"/>
      <c r="V18" s="743" t="s">
        <v>1876</v>
      </c>
    </row>
    <row r="19" spans="1:22" ht="35.450000000000003" customHeight="1">
      <c r="A19" s="484">
        <v>10</v>
      </c>
      <c r="B19" s="486" t="s">
        <v>1334</v>
      </c>
      <c r="C19" s="497" t="str">
        <f>VLOOKUP($B19,DATA!$B$14:$AU$589,6,0)</f>
        <v>Quảng Ninh</v>
      </c>
      <c r="D19" s="497" t="str">
        <f>VLOOKUP($B19,DATA!$B$14:$AU$589,36,0)</f>
        <v>Xuân Ninh</v>
      </c>
      <c r="E19" s="497" t="str">
        <f>VLOOKUP($B19,DATA!$B$14:$AU$589,37,0)</f>
        <v>GT</v>
      </c>
      <c r="F19" s="497" t="s">
        <v>2106</v>
      </c>
      <c r="G19" s="497"/>
      <c r="H19" s="497">
        <f>VLOOKUP($B19,DATA!$B$14:$AU$589,7,0)</f>
        <v>2019</v>
      </c>
      <c r="I19" s="497">
        <f>VLOOKUP($B19,DATA!$B$14:$AU$589,9,0)</f>
        <v>2021</v>
      </c>
      <c r="J19" s="497" t="str">
        <f>VLOOKUP($B19,DATA!$B$14:$AU$589,12,0)</f>
        <v>3794/QĐ-UBND ngày 31/10/2018</v>
      </c>
      <c r="K19" s="483">
        <f>VLOOKUP($B19,DATA!$B$14:$AU$589,13,0)</f>
        <v>8000</v>
      </c>
      <c r="L19" s="483">
        <f>VLOOKUP($B19,DATA!$B$14:$AU$589,15,0)</f>
        <v>4800</v>
      </c>
      <c r="M19" s="483">
        <f>VLOOKUP($B19,DATA!$B$14:$AU$589,26,0)</f>
        <v>0</v>
      </c>
      <c r="N19" s="483">
        <f>VLOOKUP($B19,DATA!$B$14:$AU$589,28,0)</f>
        <v>0</v>
      </c>
      <c r="O19" s="483">
        <f>VLOOKUP($B19,DATA!$B$14:$AU$589,29,0)</f>
        <v>2880</v>
      </c>
      <c r="P19" s="483">
        <f>VLOOKUP($B19,DATA!$B$14:$AU$589,30,0)</f>
        <v>2880</v>
      </c>
      <c r="Q19" s="483">
        <f t="shared" si="3"/>
        <v>1440</v>
      </c>
      <c r="R19" s="497">
        <v>50</v>
      </c>
      <c r="S19" s="515" t="s">
        <v>1629</v>
      </c>
      <c r="T19" s="497" t="str">
        <f>VLOOKUP($B19,DATA!$B$14:$AU$589,33,0)</f>
        <v>QĐ CTĐT không bố trí từng năm</v>
      </c>
    </row>
    <row r="20" spans="1:22" ht="35.450000000000003" customHeight="1">
      <c r="A20" s="484">
        <v>11</v>
      </c>
      <c r="B20" s="490" t="s">
        <v>1395</v>
      </c>
      <c r="C20" s="497" t="str">
        <f>VLOOKUP($B20,DATA!$B$14:$AU$589,6,0)</f>
        <v>Ba Đồn</v>
      </c>
      <c r="D20" s="497" t="str">
        <f>VLOOKUP($B20,DATA!$B$14:$AU$589,36,0)</f>
        <v>Quảng Thuận</v>
      </c>
      <c r="E20" s="497" t="str">
        <f>VLOOKUP($B20,DATA!$B$14:$AU$589,37,0)</f>
        <v>GT</v>
      </c>
      <c r="F20" s="497" t="s">
        <v>2106</v>
      </c>
      <c r="G20" s="497"/>
      <c r="H20" s="497">
        <f>VLOOKUP($B20,DATA!$B$14:$AU$589,7,0)</f>
        <v>2019</v>
      </c>
      <c r="I20" s="497">
        <f>VLOOKUP($B20,DATA!$B$14:$AU$589,9,0)</f>
        <v>2021</v>
      </c>
      <c r="J20" s="497" t="str">
        <f>VLOOKUP($B20,DATA!$B$14:$AU$589,12,0)</f>
        <v>3727/QĐ-UBND ngày 30/10/2018</v>
      </c>
      <c r="K20" s="483">
        <f>VLOOKUP($B20,DATA!$B$14:$AU$589,13,0)</f>
        <v>8000</v>
      </c>
      <c r="L20" s="483">
        <f>VLOOKUP($B20,DATA!$B$14:$AU$589,15,0)</f>
        <v>4800</v>
      </c>
      <c r="M20" s="483">
        <f>VLOOKUP($B20,DATA!$B$14:$AU$589,26,0)</f>
        <v>0</v>
      </c>
      <c r="N20" s="483">
        <f>VLOOKUP($B20,DATA!$B$14:$AU$589,28,0)</f>
        <v>0</v>
      </c>
      <c r="O20" s="483">
        <f>VLOOKUP($B20,DATA!$B$14:$AU$589,29,0)</f>
        <v>2880</v>
      </c>
      <c r="P20" s="483">
        <f>VLOOKUP($B20,DATA!$B$14:$AU$589,30,0)</f>
        <v>2880</v>
      </c>
      <c r="Q20" s="483">
        <f t="shared" si="3"/>
        <v>1440</v>
      </c>
      <c r="R20" s="497">
        <v>50</v>
      </c>
      <c r="S20" s="515" t="s">
        <v>1629</v>
      </c>
      <c r="T20" s="497" t="str">
        <f>VLOOKUP($B20,DATA!$B$14:$AU$589,33,0)</f>
        <v>bố trí KH vốn theo CTĐT</v>
      </c>
    </row>
    <row r="21" spans="1:22" ht="35.450000000000003" customHeight="1">
      <c r="A21" s="484">
        <v>12</v>
      </c>
      <c r="B21" s="491" t="s">
        <v>1311</v>
      </c>
      <c r="C21" s="497" t="str">
        <f>VLOOKUP($B21,DATA!$B$14:$AU$589,6,0)</f>
        <v>Quảng Ninh</v>
      </c>
      <c r="D21" s="497" t="str">
        <f>VLOOKUP($B21,DATA!$B$14:$AU$589,36,0)</f>
        <v>Trường Xuân</v>
      </c>
      <c r="E21" s="497" t="str">
        <f>VLOOKUP($B21,DATA!$B$14:$AU$589,37,0)</f>
        <v>GT</v>
      </c>
      <c r="F21" s="497" t="s">
        <v>2106</v>
      </c>
      <c r="G21" s="497"/>
      <c r="H21" s="497">
        <f>VLOOKUP($B21,DATA!$B$14:$AU$589,7,0)</f>
        <v>2019</v>
      </c>
      <c r="I21" s="497">
        <f>VLOOKUP($B21,DATA!$B$14:$AU$589,9,0)</f>
        <v>2021</v>
      </c>
      <c r="J21" s="497" t="str">
        <f>VLOOKUP($B21,DATA!$B$14:$AU$589,12,0)</f>
        <v>3951/QĐ-UBND ngày 31/10/2017</v>
      </c>
      <c r="K21" s="483">
        <f>VLOOKUP($B21,DATA!$B$14:$AU$589,13,0)</f>
        <v>8500</v>
      </c>
      <c r="L21" s="483">
        <f>VLOOKUP($B21,DATA!$B$14:$AU$589,15,0)</f>
        <v>5100</v>
      </c>
      <c r="M21" s="483">
        <f>VLOOKUP($B21,DATA!$B$14:$AU$589,26,0)</f>
        <v>0</v>
      </c>
      <c r="N21" s="483">
        <f>VLOOKUP($B21,DATA!$B$14:$AU$589,28,0)</f>
        <v>0</v>
      </c>
      <c r="O21" s="483">
        <f>VLOOKUP($B21,DATA!$B$14:$AU$589,29,0)</f>
        <v>3060</v>
      </c>
      <c r="P21" s="483">
        <f>VLOOKUP($B21,DATA!$B$14:$AU$589,30,0)</f>
        <v>3060</v>
      </c>
      <c r="Q21" s="483">
        <f t="shared" si="3"/>
        <v>1530</v>
      </c>
      <c r="R21" s="497">
        <v>50</v>
      </c>
      <c r="S21" s="515" t="s">
        <v>1629</v>
      </c>
      <c r="T21" s="497" t="str">
        <f>VLOOKUP($B21,DATA!$B$14:$AU$589,33,0)</f>
        <v>Bố trí KH 2019 theo QĐ CTĐT</v>
      </c>
      <c r="U21" s="68"/>
      <c r="V21" s="68"/>
    </row>
    <row r="22" spans="1:22" ht="35.450000000000003" customHeight="1">
      <c r="A22" s="484">
        <v>13</v>
      </c>
      <c r="B22" s="490" t="s">
        <v>1337</v>
      </c>
      <c r="C22" s="497" t="str">
        <f>VLOOKUP($B22,DATA!$B$14:$AU$589,6,0)</f>
        <v>Quảng Trạch</v>
      </c>
      <c r="D22" s="497" t="str">
        <f>VLOOKUP($B22,DATA!$B$14:$AU$589,36,0)</f>
        <v>Quảng Thạch</v>
      </c>
      <c r="E22" s="497" t="str">
        <f>VLOOKUP($B22,DATA!$B$14:$AU$589,37,0)</f>
        <v>NN-TL</v>
      </c>
      <c r="F22" s="497" t="s">
        <v>2106</v>
      </c>
      <c r="G22" s="497"/>
      <c r="H22" s="497">
        <f>VLOOKUP($B22,DATA!$B$14:$AU$589,7,0)</f>
        <v>2019</v>
      </c>
      <c r="I22" s="497">
        <f>VLOOKUP($B22,DATA!$B$14:$AU$589,9,0)</f>
        <v>2021</v>
      </c>
      <c r="J22" s="497" t="str">
        <f>VLOOKUP($B22,DATA!$B$14:$AU$589,12,0)</f>
        <v>3788/QĐ-UBND ngày 31/10/2018</v>
      </c>
      <c r="K22" s="483">
        <f>VLOOKUP($B22,DATA!$B$14:$AU$589,13,0)</f>
        <v>9500</v>
      </c>
      <c r="L22" s="483">
        <f>VLOOKUP($B22,DATA!$B$14:$AU$589,15,0)</f>
        <v>5700</v>
      </c>
      <c r="M22" s="483">
        <f>VLOOKUP($B22,DATA!$B$14:$AU$589,26,0)</f>
        <v>0</v>
      </c>
      <c r="N22" s="483">
        <f>VLOOKUP($B22,DATA!$B$14:$AU$589,28,0)</f>
        <v>0</v>
      </c>
      <c r="O22" s="483">
        <f>VLOOKUP($B22,DATA!$B$14:$AU$589,29,0)</f>
        <v>3420</v>
      </c>
      <c r="P22" s="483">
        <f>VLOOKUP($B22,DATA!$B$14:$AU$589,30,0)</f>
        <v>3420</v>
      </c>
      <c r="Q22" s="483">
        <f t="shared" si="3"/>
        <v>1710</v>
      </c>
      <c r="R22" s="497">
        <v>50</v>
      </c>
      <c r="S22" s="515" t="s">
        <v>1629</v>
      </c>
      <c r="T22" s="497">
        <f>VLOOKUP($B22,DATA!$B$14:$AU$589,33,0)</f>
        <v>0</v>
      </c>
      <c r="U22" s="742"/>
      <c r="V22" s="743" t="s">
        <v>1874</v>
      </c>
    </row>
    <row r="23" spans="1:22" ht="35.450000000000003" customHeight="1">
      <c r="A23" s="484">
        <v>14</v>
      </c>
      <c r="B23" s="491" t="s">
        <v>1315</v>
      </c>
      <c r="C23" s="497" t="str">
        <f>VLOOKUP($B23,DATA!$B$14:$AU$589,6,0)</f>
        <v>Quảng Trạch</v>
      </c>
      <c r="D23" s="497" t="str">
        <f>VLOOKUP($B23,DATA!$B$14:$AU$589,36,0)</f>
        <v>Quảng Tiến</v>
      </c>
      <c r="E23" s="497" t="str">
        <f>VLOOKUP($B23,DATA!$B$14:$AU$589,37,0)</f>
        <v>GT</v>
      </c>
      <c r="F23" s="497" t="s">
        <v>2106</v>
      </c>
      <c r="G23" s="497"/>
      <c r="H23" s="497">
        <f>VLOOKUP($B23,DATA!$B$14:$AU$589,7,0)</f>
        <v>2019</v>
      </c>
      <c r="I23" s="497">
        <f>VLOOKUP($B23,DATA!$B$14:$AU$589,9,0)</f>
        <v>2021</v>
      </c>
      <c r="J23" s="497" t="str">
        <f>VLOOKUP($B23,DATA!$B$14:$AU$589,12,0)</f>
        <v>3694/QĐ-UBND ngày 30/10/2018</v>
      </c>
      <c r="K23" s="483">
        <f>VLOOKUP($B23,DATA!$B$14:$AU$589,13,0)</f>
        <v>15000</v>
      </c>
      <c r="L23" s="483">
        <f>VLOOKUP($B23,DATA!$B$14:$AU$589,15,0)</f>
        <v>9000</v>
      </c>
      <c r="M23" s="483">
        <f>VLOOKUP($B23,DATA!$B$14:$AU$589,26,0)</f>
        <v>0</v>
      </c>
      <c r="N23" s="483">
        <f>VLOOKUP($B23,DATA!$B$14:$AU$589,28,0)</f>
        <v>0</v>
      </c>
      <c r="O23" s="483">
        <f>VLOOKUP($B23,DATA!$B$14:$AU$589,29,0)</f>
        <v>5400</v>
      </c>
      <c r="P23" s="483">
        <f>VLOOKUP($B23,DATA!$B$14:$AU$589,30,0)</f>
        <v>5400</v>
      </c>
      <c r="Q23" s="483">
        <f t="shared" si="3"/>
        <v>2700</v>
      </c>
      <c r="R23" s="497">
        <v>50</v>
      </c>
      <c r="S23" s="515" t="s">
        <v>1629</v>
      </c>
      <c r="T23" s="497" t="str">
        <f>VLOOKUP($B23,DATA!$B$14:$AU$589,33,0)</f>
        <v>Bố trí KH 2019 theo QĐ CTĐT</v>
      </c>
      <c r="U23" s="67"/>
      <c r="V23" s="67"/>
    </row>
    <row r="24" spans="1:22" s="662" customFormat="1" ht="35.450000000000003" customHeight="1">
      <c r="A24" s="732" t="s">
        <v>472</v>
      </c>
      <c r="B24" s="733" t="s">
        <v>1627</v>
      </c>
      <c r="C24" s="732"/>
      <c r="D24" s="732"/>
      <c r="E24" s="732"/>
      <c r="F24" s="732"/>
      <c r="G24" s="732"/>
      <c r="H24" s="732"/>
      <c r="I24" s="732"/>
      <c r="J24" s="732"/>
      <c r="K24" s="729">
        <f t="shared" ref="K24:Q24" si="4">SUBTOTAL(109, K25:K60)</f>
        <v>347480</v>
      </c>
      <c r="L24" s="729">
        <f t="shared" si="4"/>
        <v>252390</v>
      </c>
      <c r="M24" s="729">
        <f t="shared" si="4"/>
        <v>0</v>
      </c>
      <c r="N24" s="729">
        <f t="shared" si="4"/>
        <v>0</v>
      </c>
      <c r="O24" s="729">
        <f t="shared" si="4"/>
        <v>150094</v>
      </c>
      <c r="P24" s="729">
        <f t="shared" si="4"/>
        <v>150094</v>
      </c>
      <c r="Q24" s="729">
        <f t="shared" si="4"/>
        <v>69268.240000000165</v>
      </c>
      <c r="R24" s="729"/>
      <c r="S24" s="729"/>
      <c r="T24" s="729"/>
    </row>
    <row r="25" spans="1:22" ht="35.450000000000003" customHeight="1">
      <c r="A25" s="484">
        <v>1</v>
      </c>
      <c r="B25" s="490" t="s">
        <v>1454</v>
      </c>
      <c r="C25" s="497" t="str">
        <f>VLOOKUP($B25,DATA!$B$14:$AU$589,6,0)</f>
        <v>Bố Trạch</v>
      </c>
      <c r="D25" s="497" t="str">
        <f>VLOOKUP($B25,DATA!$B$14:$AU$589,36,0)</f>
        <v>Tân Trạch</v>
      </c>
      <c r="E25" s="497" t="str">
        <f>VLOOKUP($B25,DATA!$B$14:$AU$589,37,0)</f>
        <v>Khác</v>
      </c>
      <c r="F25" s="497"/>
      <c r="G25" s="497" t="s">
        <v>2106</v>
      </c>
      <c r="H25" s="497">
        <f>VLOOKUP($B25,DATA!$B$14:$AU$589,7,0)</f>
        <v>2019</v>
      </c>
      <c r="I25" s="497">
        <f>VLOOKUP($B25,DATA!$B$14:$AU$589,9,0)</f>
        <v>2020</v>
      </c>
      <c r="J25" s="497" t="str">
        <f>VLOOKUP($B25,DATA!$B$14:$AU$589,12,0)</f>
        <v xml:space="preserve">3857a/QĐ-UBND ngày 31/10/2018 </v>
      </c>
      <c r="K25" s="483">
        <f>VLOOKUP($B25,DATA!$B$14:$AU$589,13,0)</f>
        <v>3500</v>
      </c>
      <c r="L25" s="483">
        <f>VLOOKUP($B25,DATA!$B$14:$AU$589,15,0)</f>
        <v>2100</v>
      </c>
      <c r="M25" s="483">
        <f>VLOOKUP($B25,DATA!$B$14:$AU$589,26,0)</f>
        <v>0</v>
      </c>
      <c r="N25" s="483">
        <f>VLOOKUP($B25,DATA!$B$14:$AU$589,28,0)</f>
        <v>0</v>
      </c>
      <c r="O25" s="483">
        <f>VLOOKUP($B25,DATA!$B$14:$AU$589,29,0)</f>
        <v>2100</v>
      </c>
      <c r="P25" s="483">
        <f>VLOOKUP($B25,DATA!$B$14:$AU$589,30,0)</f>
        <v>2100</v>
      </c>
      <c r="Q25" s="483">
        <f>P25*R25/100</f>
        <v>1050</v>
      </c>
      <c r="R25" s="497">
        <v>50</v>
      </c>
      <c r="S25" s="515" t="s">
        <v>1628</v>
      </c>
      <c r="T25" s="497">
        <f>VLOOKUP($B25,DATA!$B$14:$AU$589,33,0)</f>
        <v>0</v>
      </c>
    </row>
    <row r="26" spans="1:22" ht="35.450000000000003" customHeight="1">
      <c r="A26" s="484">
        <v>2</v>
      </c>
      <c r="B26" s="699" t="s">
        <v>1345</v>
      </c>
      <c r="C26" s="497" t="str">
        <f>VLOOKUP($B26,DATA!$B$14:$AU$589,6,0)</f>
        <v>Quảng Ninh</v>
      </c>
      <c r="D26" s="497" t="str">
        <f>VLOOKUP($B26,DATA!$B$14:$AU$589,36,0)</f>
        <v>Hải Ninh</v>
      </c>
      <c r="E26" s="497" t="str">
        <f>VLOOKUP($B26,DATA!$B$14:$AU$589,37,0)</f>
        <v>GT</v>
      </c>
      <c r="F26" s="497"/>
      <c r="G26" s="497" t="s">
        <v>2106</v>
      </c>
      <c r="H26" s="497">
        <f>VLOOKUP($B26,DATA!$B$14:$AU$589,7,0)</f>
        <v>2019</v>
      </c>
      <c r="I26" s="497">
        <f>VLOOKUP($B26,DATA!$B$14:$AU$589,9,0)</f>
        <v>2020</v>
      </c>
      <c r="J26" s="497" t="str">
        <f>VLOOKUP($B26,DATA!$B$14:$AU$589,12,0)</f>
        <v>3861/QĐ-UBND ngày 31/10/2018</v>
      </c>
      <c r="K26" s="483">
        <f>VLOOKUP($B26,DATA!$B$14:$AU$589,13,0)</f>
        <v>67000</v>
      </c>
      <c r="L26" s="483">
        <f>VLOOKUP($B26,DATA!$B$14:$AU$589,15,0)</f>
        <v>67000</v>
      </c>
      <c r="M26" s="483">
        <f>VLOOKUP($B26,DATA!$B$14:$AU$589,26,0)</f>
        <v>0</v>
      </c>
      <c r="N26" s="483">
        <f>VLOOKUP($B26,DATA!$B$14:$AU$589,28,0)</f>
        <v>0</v>
      </c>
      <c r="O26" s="483">
        <f>VLOOKUP($B26,DATA!$B$14:$AU$589,29,0)</f>
        <v>36180</v>
      </c>
      <c r="P26" s="483">
        <f>VLOOKUP($B26,DATA!$B$14:$AU$589,30,0)</f>
        <v>36180</v>
      </c>
      <c r="Q26" s="483">
        <v>12311.240000000158</v>
      </c>
      <c r="R26" s="526">
        <f>Q26*100/P26</f>
        <v>34.027750138198336</v>
      </c>
      <c r="S26" s="515" t="s">
        <v>1628</v>
      </c>
      <c r="T26" s="497">
        <f>VLOOKUP($B26,DATA!$B$14:$AU$589,33,0)</f>
        <v>0</v>
      </c>
    </row>
    <row r="27" spans="1:22" ht="35.450000000000003" customHeight="1">
      <c r="A27" s="484">
        <v>3</v>
      </c>
      <c r="B27" s="490" t="s">
        <v>1451</v>
      </c>
      <c r="C27" s="497" t="str">
        <f>VLOOKUP($B27,DATA!$B$14:$AU$589,6,0)</f>
        <v>Minh Hóa</v>
      </c>
      <c r="D27" s="497" t="str">
        <f>VLOOKUP($B27,DATA!$B$14:$AU$589,36,0)</f>
        <v>Hóa Tiến</v>
      </c>
      <c r="E27" s="497" t="str">
        <f>VLOOKUP($B27,DATA!$B$14:$AU$589,37,0)</f>
        <v>NN-TL</v>
      </c>
      <c r="F27" s="497"/>
      <c r="G27" s="497" t="s">
        <v>2106</v>
      </c>
      <c r="H27" s="497">
        <f>VLOOKUP($B27,DATA!$B$14:$AU$589,7,0)</f>
        <v>2019</v>
      </c>
      <c r="I27" s="497">
        <f>VLOOKUP($B27,DATA!$B$14:$AU$589,9,0)</f>
        <v>2021</v>
      </c>
      <c r="J27" s="497" t="str">
        <f>VLOOKUP($B27,DATA!$B$14:$AU$589,12,0)</f>
        <v xml:space="preserve">3836/QĐ-UBND ngày 31/10/2018 </v>
      </c>
      <c r="K27" s="483">
        <f>VLOOKUP($B27,DATA!$B$14:$AU$589,13,0)</f>
        <v>1500</v>
      </c>
      <c r="L27" s="483">
        <f>VLOOKUP($B27,DATA!$B$14:$AU$589,15,0)</f>
        <v>900</v>
      </c>
      <c r="M27" s="483">
        <f>VLOOKUP($B27,DATA!$B$14:$AU$589,26,0)</f>
        <v>0</v>
      </c>
      <c r="N27" s="483">
        <f>VLOOKUP($B27,DATA!$B$14:$AU$589,28,0)</f>
        <v>0</v>
      </c>
      <c r="O27" s="483">
        <f>VLOOKUP($B27,DATA!$B$14:$AU$589,29,0)</f>
        <v>900</v>
      </c>
      <c r="P27" s="483">
        <f>VLOOKUP($B27,DATA!$B$14:$AU$589,30,0)</f>
        <v>900</v>
      </c>
      <c r="Q27" s="483">
        <f t="shared" ref="Q27:Q60" si="5">P27*R27/100</f>
        <v>450</v>
      </c>
      <c r="R27" s="497">
        <v>50</v>
      </c>
      <c r="S27" s="487" t="s">
        <v>1838</v>
      </c>
      <c r="T27" s="497" t="str">
        <f>VLOOKUP($B27,DATA!$B$14:$AU$589,33,0)</f>
        <v>Đã bố trí vốn vượt thu 1,3 tỷ</v>
      </c>
    </row>
    <row r="28" spans="1:22" ht="35.450000000000003" customHeight="1">
      <c r="A28" s="484">
        <v>4</v>
      </c>
      <c r="B28" s="486" t="s">
        <v>1464</v>
      </c>
      <c r="C28" s="497" t="str">
        <f>VLOOKUP($B28,DATA!$B$14:$AU$589,6,0)</f>
        <v>Đồng Hới</v>
      </c>
      <c r="D28" s="497" t="str">
        <f>VLOOKUP($B28,DATA!$B$14:$AU$589,36,0)</f>
        <v>Đồng Phú</v>
      </c>
      <c r="E28" s="497" t="str">
        <f>VLOOKUP($B28,DATA!$B$14:$AU$589,37,0)</f>
        <v>Khác</v>
      </c>
      <c r="F28" s="497"/>
      <c r="G28" s="497" t="s">
        <v>2106</v>
      </c>
      <c r="H28" s="497">
        <f>VLOOKUP($B28,DATA!$B$14:$AU$589,7,0)</f>
        <v>2019</v>
      </c>
      <c r="I28" s="497">
        <f>VLOOKUP($B28,DATA!$B$14:$AU$589,9,0)</f>
        <v>2021</v>
      </c>
      <c r="J28" s="497" t="str">
        <f>VLOOKUP($B28,DATA!$B$14:$AU$589,12,0)</f>
        <v>3832/QĐ-UBND ngày 31/10/2018</v>
      </c>
      <c r="K28" s="483">
        <f>VLOOKUP($B28,DATA!$B$14:$AU$589,13,0)</f>
        <v>1700</v>
      </c>
      <c r="L28" s="483">
        <f>VLOOKUP($B28,DATA!$B$14:$AU$589,15,0)</f>
        <v>1700</v>
      </c>
      <c r="M28" s="483">
        <f>VLOOKUP($B28,DATA!$B$14:$AU$589,26,0)</f>
        <v>0</v>
      </c>
      <c r="N28" s="483">
        <f>VLOOKUP($B28,DATA!$B$14:$AU$589,28,0)</f>
        <v>0</v>
      </c>
      <c r="O28" s="483">
        <f>VLOOKUP($B28,DATA!$B$14:$AU$589,29,0)</f>
        <v>1700</v>
      </c>
      <c r="P28" s="483">
        <f>VLOOKUP($B28,DATA!$B$14:$AU$589,30,0)</f>
        <v>1700</v>
      </c>
      <c r="Q28" s="483">
        <f t="shared" si="5"/>
        <v>850</v>
      </c>
      <c r="R28" s="497">
        <v>50</v>
      </c>
      <c r="S28" s="487" t="s">
        <v>1838</v>
      </c>
      <c r="T28" s="497" t="str">
        <f>VLOOKUP($B28,DATA!$B$14:$AU$589,33,0)</f>
        <v>P. VX đề xuất bố trí 850 triệu</v>
      </c>
    </row>
    <row r="29" spans="1:22" ht="35.450000000000003" customHeight="1">
      <c r="A29" s="484">
        <v>5</v>
      </c>
      <c r="B29" s="491" t="s">
        <v>1448</v>
      </c>
      <c r="C29" s="497" t="str">
        <f>VLOOKUP($B29,DATA!$B$14:$AU$589,6,0)</f>
        <v>Tuyên Hóa</v>
      </c>
      <c r="D29" s="497" t="str">
        <f>VLOOKUP($B29,DATA!$B$14:$AU$589,36,0)</f>
        <v>Phong Hóa</v>
      </c>
      <c r="E29" s="497" t="str">
        <f>VLOOKUP($B29,DATA!$B$14:$AU$589,37,0)</f>
        <v>GT</v>
      </c>
      <c r="F29" s="497"/>
      <c r="G29" s="497" t="s">
        <v>2106</v>
      </c>
      <c r="H29" s="497">
        <f>VLOOKUP($B29,DATA!$B$14:$AU$589,7,0)</f>
        <v>2019</v>
      </c>
      <c r="I29" s="497">
        <f>VLOOKUP($B29,DATA!$B$14:$AU$589,9,0)</f>
        <v>2021</v>
      </c>
      <c r="J29" s="497" t="str">
        <f>VLOOKUP($B29,DATA!$B$14:$AU$589,12,0)</f>
        <v xml:space="preserve">3859/QĐ-UBND ngày 31/10/2018 </v>
      </c>
      <c r="K29" s="483">
        <f>VLOOKUP($B29,DATA!$B$14:$AU$589,13,0)</f>
        <v>2000</v>
      </c>
      <c r="L29" s="483">
        <f>VLOOKUP($B29,DATA!$B$14:$AU$589,15,0)</f>
        <v>2000</v>
      </c>
      <c r="M29" s="483">
        <f>VLOOKUP($B29,DATA!$B$14:$AU$589,26,0)</f>
        <v>0</v>
      </c>
      <c r="N29" s="483">
        <f>VLOOKUP($B29,DATA!$B$14:$AU$589,28,0)</f>
        <v>0</v>
      </c>
      <c r="O29" s="483">
        <f>VLOOKUP($B29,DATA!$B$14:$AU$589,29,0)</f>
        <v>2000</v>
      </c>
      <c r="P29" s="483">
        <f>VLOOKUP($B29,DATA!$B$14:$AU$589,30,0)</f>
        <v>2000</v>
      </c>
      <c r="Q29" s="483">
        <f t="shared" si="5"/>
        <v>1000</v>
      </c>
      <c r="R29" s="497">
        <v>50</v>
      </c>
      <c r="S29" s="487" t="s">
        <v>1838</v>
      </c>
      <c r="T29" s="497" t="str">
        <f>VLOOKUP($B29,DATA!$B$14:$AU$589,33,0)</f>
        <v>UBND huyện Tuyên Hóa đã có CV số 600 giao xã Phong Hóa làm Chủ đầu tư; thời gian thực hiện 2 năm</v>
      </c>
    </row>
    <row r="30" spans="1:22" ht="35.450000000000003" customHeight="1">
      <c r="A30" s="484">
        <v>6</v>
      </c>
      <c r="B30" s="492" t="s">
        <v>1429</v>
      </c>
      <c r="C30" s="497" t="str">
        <f>VLOOKUP($B30,DATA!$B$14:$AU$589,6,0)</f>
        <v>Quảng Ninh</v>
      </c>
      <c r="D30" s="497" t="str">
        <f>VLOOKUP($B30,DATA!$B$14:$AU$589,36,0)</f>
        <v>Tân Ninh, Gia Ninh</v>
      </c>
      <c r="E30" s="497" t="str">
        <f>VLOOKUP($B30,DATA!$B$14:$AU$589,37,0)</f>
        <v>NN-TL</v>
      </c>
      <c r="F30" s="497"/>
      <c r="G30" s="497" t="s">
        <v>2106</v>
      </c>
      <c r="H30" s="497">
        <f>VLOOKUP($B30,DATA!$B$14:$AU$589,7,0)</f>
        <v>2019</v>
      </c>
      <c r="I30" s="497">
        <f>VLOOKUP($B30,DATA!$B$14:$AU$589,9,0)</f>
        <v>2021</v>
      </c>
      <c r="J30" s="497" t="str">
        <f>VLOOKUP($B30,DATA!$B$14:$AU$589,12,0)</f>
        <v>3834/QĐ-UBND ngày 31/10/2018</v>
      </c>
      <c r="K30" s="483">
        <f>VLOOKUP($B30,DATA!$B$14:$AU$589,13,0)</f>
        <v>3500</v>
      </c>
      <c r="L30" s="483">
        <f>VLOOKUP($B30,DATA!$B$14:$AU$589,15,0)</f>
        <v>2100</v>
      </c>
      <c r="M30" s="483">
        <f>VLOOKUP($B30,DATA!$B$14:$AU$589,26,0)</f>
        <v>0</v>
      </c>
      <c r="N30" s="483">
        <f>VLOOKUP($B30,DATA!$B$14:$AU$589,28,0)</f>
        <v>0</v>
      </c>
      <c r="O30" s="483">
        <f>VLOOKUP($B30,DATA!$B$14:$AU$589,29,0)</f>
        <v>1260</v>
      </c>
      <c r="P30" s="483">
        <f>VLOOKUP($B30,DATA!$B$14:$AU$589,30,0)</f>
        <v>1260</v>
      </c>
      <c r="Q30" s="483">
        <f t="shared" si="5"/>
        <v>630</v>
      </c>
      <c r="R30" s="497">
        <v>50</v>
      </c>
      <c r="S30" s="515" t="s">
        <v>1628</v>
      </c>
      <c r="T30" s="497" t="str">
        <f>VLOOKUP($B30,DATA!$B$14:$AU$589,33,0)</f>
        <v>Bố trí vượt thu 1,5 tỷ</v>
      </c>
    </row>
    <row r="31" spans="1:22" ht="35.450000000000003" customHeight="1">
      <c r="A31" s="484">
        <v>7</v>
      </c>
      <c r="B31" s="492" t="s">
        <v>1443</v>
      </c>
      <c r="C31" s="497" t="str">
        <f>VLOOKUP($B31,DATA!$B$14:$AU$589,6,0)</f>
        <v>Lệ Thủy</v>
      </c>
      <c r="D31" s="497" t="str">
        <f>VLOOKUP($B31,DATA!$B$14:$AU$589,36,0)</f>
        <v>Sen Thủy</v>
      </c>
      <c r="E31" s="497" t="str">
        <f>VLOOKUP($B31,DATA!$B$14:$AU$589,37,0)</f>
        <v>GT</v>
      </c>
      <c r="F31" s="497"/>
      <c r="G31" s="497" t="s">
        <v>2106</v>
      </c>
      <c r="H31" s="497">
        <f>VLOOKUP($B31,DATA!$B$14:$AU$589,7,0)</f>
        <v>2019</v>
      </c>
      <c r="I31" s="497">
        <f>VLOOKUP($B31,DATA!$B$14:$AU$589,9,0)</f>
        <v>2021</v>
      </c>
      <c r="J31" s="497" t="str">
        <f>VLOOKUP($B31,DATA!$B$14:$AU$589,12,0)</f>
        <v>3797/QĐ-UBND ngày 31/10/2018</v>
      </c>
      <c r="K31" s="483">
        <f>VLOOKUP($B31,DATA!$B$14:$AU$589,13,0)</f>
        <v>3500</v>
      </c>
      <c r="L31" s="483">
        <f>VLOOKUP($B31,DATA!$B$14:$AU$589,15,0)</f>
        <v>2100</v>
      </c>
      <c r="M31" s="483">
        <f>VLOOKUP($B31,DATA!$B$14:$AU$589,26,0)</f>
        <v>0</v>
      </c>
      <c r="N31" s="483">
        <f>VLOOKUP($B31,DATA!$B$14:$AU$589,28,0)</f>
        <v>0</v>
      </c>
      <c r="O31" s="483">
        <f>VLOOKUP($B31,DATA!$B$14:$AU$589,29,0)</f>
        <v>1260</v>
      </c>
      <c r="P31" s="483">
        <f>VLOOKUP($B31,DATA!$B$14:$AU$589,30,0)</f>
        <v>1260</v>
      </c>
      <c r="Q31" s="483">
        <f t="shared" si="5"/>
        <v>630</v>
      </c>
      <c r="R31" s="497">
        <v>50</v>
      </c>
      <c r="S31" s="515" t="s">
        <v>1628</v>
      </c>
      <c r="T31" s="497" t="str">
        <f>VLOOKUP($B31,DATA!$B$14:$AU$589,33,0)</f>
        <v>QĐ CTĐT không bố trí từng năm</v>
      </c>
    </row>
    <row r="32" spans="1:22" ht="35.450000000000003" customHeight="1">
      <c r="A32" s="484">
        <v>8</v>
      </c>
      <c r="B32" s="492" t="s">
        <v>1433</v>
      </c>
      <c r="C32" s="497" t="str">
        <f>VLOOKUP($B32,DATA!$B$14:$AU$589,6,0)</f>
        <v>Đồng Hới</v>
      </c>
      <c r="D32" s="497" t="str">
        <f>VLOOKUP($B32,DATA!$B$14:$AU$589,36,0)</f>
        <v>Đồng Sơn</v>
      </c>
      <c r="E32" s="497" t="str">
        <f>VLOOKUP($B32,DATA!$B$14:$AU$589,37,0)</f>
        <v>NN-TL</v>
      </c>
      <c r="F32" s="497"/>
      <c r="G32" s="497" t="s">
        <v>2106</v>
      </c>
      <c r="H32" s="497">
        <f>VLOOKUP($B32,DATA!$B$14:$AU$589,7,0)</f>
        <v>2019</v>
      </c>
      <c r="I32" s="497">
        <f>VLOOKUP($B32,DATA!$B$14:$AU$589,9,0)</f>
        <v>2021</v>
      </c>
      <c r="J32" s="497" t="str">
        <f>VLOOKUP($B32,DATA!$B$14:$AU$589,12,0)</f>
        <v>3881/QĐ-UBND ngày 31/10/2018</v>
      </c>
      <c r="K32" s="483">
        <f>VLOOKUP($B32,DATA!$B$14:$AU$589,13,0)</f>
        <v>4000</v>
      </c>
      <c r="L32" s="483">
        <f>VLOOKUP($B32,DATA!$B$14:$AU$589,15,0)</f>
        <v>2400</v>
      </c>
      <c r="M32" s="483">
        <f>VLOOKUP($B32,DATA!$B$14:$AU$589,26,0)</f>
        <v>0</v>
      </c>
      <c r="N32" s="483">
        <f>VLOOKUP($B32,DATA!$B$14:$AU$589,28,0)</f>
        <v>0</v>
      </c>
      <c r="O32" s="483">
        <f>VLOOKUP($B32,DATA!$B$14:$AU$589,29,0)</f>
        <v>1440</v>
      </c>
      <c r="P32" s="483">
        <f>VLOOKUP($B32,DATA!$B$14:$AU$589,30,0)</f>
        <v>1440</v>
      </c>
      <c r="Q32" s="483">
        <f t="shared" si="5"/>
        <v>720</v>
      </c>
      <c r="R32" s="497">
        <v>50</v>
      </c>
      <c r="S32" s="515" t="s">
        <v>1628</v>
      </c>
      <c r="T32" s="497" t="str">
        <f>VLOOKUP($B32,DATA!$B$14:$AU$589,33,0)</f>
        <v>Đang trình phê duyệt CTĐT</v>
      </c>
    </row>
    <row r="33" spans="1:20" ht="35.450000000000003" customHeight="1">
      <c r="A33" s="484">
        <v>9</v>
      </c>
      <c r="B33" s="488" t="s">
        <v>1439</v>
      </c>
      <c r="C33" s="497" t="str">
        <f>VLOOKUP($B33,DATA!$B$14:$AU$589,6,0)</f>
        <v>Quảng Ninh</v>
      </c>
      <c r="D33" s="497" t="str">
        <f>VLOOKUP($B33,DATA!$B$14:$AU$589,36,0)</f>
        <v>Vạn Ninh</v>
      </c>
      <c r="E33" s="497" t="str">
        <f>VLOOKUP($B33,DATA!$B$14:$AU$589,37,0)</f>
        <v>NN-TL</v>
      </c>
      <c r="F33" s="497"/>
      <c r="G33" s="497" t="s">
        <v>2106</v>
      </c>
      <c r="H33" s="497">
        <f>VLOOKUP($B33,DATA!$B$14:$AU$589,7,0)</f>
        <v>2019</v>
      </c>
      <c r="I33" s="497">
        <f>VLOOKUP($B33,DATA!$B$14:$AU$589,9,0)</f>
        <v>2021</v>
      </c>
      <c r="J33" s="497" t="str">
        <f>VLOOKUP($B33,DATA!$B$14:$AU$589,12,0)</f>
        <v>3793/QĐ-UBND ngày 31/10/2018</v>
      </c>
      <c r="K33" s="483">
        <f>VLOOKUP($B33,DATA!$B$14:$AU$589,13,0)</f>
        <v>4000</v>
      </c>
      <c r="L33" s="483">
        <f>VLOOKUP($B33,DATA!$B$14:$AU$589,15,0)</f>
        <v>2400</v>
      </c>
      <c r="M33" s="483">
        <f>VLOOKUP($B33,DATA!$B$14:$AU$589,26,0)</f>
        <v>0</v>
      </c>
      <c r="N33" s="483">
        <f>VLOOKUP($B33,DATA!$B$14:$AU$589,28,0)</f>
        <v>0</v>
      </c>
      <c r="O33" s="483">
        <f>VLOOKUP($B33,DATA!$B$14:$AU$589,29,0)</f>
        <v>1440</v>
      </c>
      <c r="P33" s="483">
        <f>VLOOKUP($B33,DATA!$B$14:$AU$589,30,0)</f>
        <v>1440</v>
      </c>
      <c r="Q33" s="483">
        <f t="shared" si="5"/>
        <v>720</v>
      </c>
      <c r="R33" s="497">
        <v>50</v>
      </c>
      <c r="S33" s="515" t="s">
        <v>1628</v>
      </c>
      <c r="T33" s="497" t="str">
        <f>VLOOKUP($B33,DATA!$B$14:$AU$589,33,0)</f>
        <v>Bố trí KH 2019 theo QĐ CTĐT</v>
      </c>
    </row>
    <row r="34" spans="1:20" ht="35.450000000000003" customHeight="1">
      <c r="A34" s="484">
        <v>10</v>
      </c>
      <c r="B34" s="492" t="s">
        <v>1441</v>
      </c>
      <c r="C34" s="497" t="str">
        <f>VLOOKUP($B34,DATA!$B$14:$AU$589,6,0)</f>
        <v>Lệ Thủy</v>
      </c>
      <c r="D34" s="497" t="str">
        <f>VLOOKUP($B34,DATA!$B$14:$AU$589,36,0)</f>
        <v>Kim Thủy</v>
      </c>
      <c r="E34" s="497" t="str">
        <f>VLOOKUP($B34,DATA!$B$14:$AU$589,37,0)</f>
        <v>GT</v>
      </c>
      <c r="F34" s="497"/>
      <c r="G34" s="497" t="s">
        <v>2106</v>
      </c>
      <c r="H34" s="497">
        <f>VLOOKUP($B34,DATA!$B$14:$AU$589,7,0)</f>
        <v>2019</v>
      </c>
      <c r="I34" s="497">
        <f>VLOOKUP($B34,DATA!$B$14:$AU$589,9,0)</f>
        <v>2021</v>
      </c>
      <c r="J34" s="497" t="str">
        <f>VLOOKUP($B34,DATA!$B$14:$AU$589,12,0)</f>
        <v>3854a/QĐ-UBND ngày 31/10/2018</v>
      </c>
      <c r="K34" s="483">
        <f>VLOOKUP($B34,DATA!$B$14:$AU$589,13,0)</f>
        <v>4000</v>
      </c>
      <c r="L34" s="483">
        <f>VLOOKUP($B34,DATA!$B$14:$AU$589,15,0)</f>
        <v>2400</v>
      </c>
      <c r="M34" s="483">
        <f>VLOOKUP($B34,DATA!$B$14:$AU$589,26,0)</f>
        <v>0</v>
      </c>
      <c r="N34" s="483">
        <f>VLOOKUP($B34,DATA!$B$14:$AU$589,28,0)</f>
        <v>0</v>
      </c>
      <c r="O34" s="483">
        <f>VLOOKUP($B34,DATA!$B$14:$AU$589,29,0)</f>
        <v>1440</v>
      </c>
      <c r="P34" s="483">
        <f>VLOOKUP($B34,DATA!$B$14:$AU$589,30,0)</f>
        <v>1440</v>
      </c>
      <c r="Q34" s="483">
        <f t="shared" si="5"/>
        <v>720</v>
      </c>
      <c r="R34" s="497">
        <v>50</v>
      </c>
      <c r="S34" s="515" t="s">
        <v>1628</v>
      </c>
      <c r="T34" s="497" t="str">
        <f>VLOOKUP($B34,DATA!$B$14:$AU$589,33,0)</f>
        <v>Bố trí vượt thu 2 tỷ</v>
      </c>
    </row>
    <row r="35" spans="1:20" ht="35.450000000000003" customHeight="1">
      <c r="A35" s="484">
        <v>11</v>
      </c>
      <c r="B35" s="490" t="s">
        <v>1369</v>
      </c>
      <c r="C35" s="497" t="str">
        <f>VLOOKUP($B35,DATA!$B$14:$AU$589,6,0)</f>
        <v>Quảng Trạch</v>
      </c>
      <c r="D35" s="497" t="str">
        <f>VLOOKUP($B35,DATA!$B$14:$AU$589,36,0)</f>
        <v>Quảng Châu</v>
      </c>
      <c r="E35" s="497" t="str">
        <f>VLOOKUP($B35,DATA!$B$14:$AU$589,37,0)</f>
        <v>GT</v>
      </c>
      <c r="F35" s="497"/>
      <c r="G35" s="497" t="s">
        <v>2106</v>
      </c>
      <c r="H35" s="497">
        <f>VLOOKUP($B35,DATA!$B$14:$AU$589,7,0)</f>
        <v>2019</v>
      </c>
      <c r="I35" s="497">
        <f>VLOOKUP($B35,DATA!$B$14:$AU$589,9,0)</f>
        <v>2021</v>
      </c>
      <c r="J35" s="497" t="str">
        <f>VLOOKUP($B35,DATA!$B$14:$AU$589,12,0)</f>
        <v>3520/QĐ-UBND ngày 23/10/2018</v>
      </c>
      <c r="K35" s="483">
        <f>VLOOKUP($B35,DATA!$B$14:$AU$589,13,0)</f>
        <v>5000</v>
      </c>
      <c r="L35" s="483">
        <f>VLOOKUP($B35,DATA!$B$14:$AU$589,15,0)</f>
        <v>3000</v>
      </c>
      <c r="M35" s="483">
        <f>VLOOKUP($B35,DATA!$B$14:$AU$589,26,0)</f>
        <v>0</v>
      </c>
      <c r="N35" s="483">
        <f>VLOOKUP($B35,DATA!$B$14:$AU$589,28,0)</f>
        <v>0</v>
      </c>
      <c r="O35" s="483">
        <f>VLOOKUP($B35,DATA!$B$14:$AU$589,29,0)</f>
        <v>1800</v>
      </c>
      <c r="P35" s="483">
        <f>VLOOKUP($B35,DATA!$B$14:$AU$589,30,0)</f>
        <v>1800</v>
      </c>
      <c r="Q35" s="483">
        <f t="shared" si="5"/>
        <v>900</v>
      </c>
      <c r="R35" s="497">
        <v>50</v>
      </c>
      <c r="S35" s="515" t="s">
        <v>1628</v>
      </c>
      <c r="T35" s="497" t="str">
        <f>VLOOKUP($B35,DATA!$B$14:$AU$589,33,0)</f>
        <v>bố trí KH vốn theo CTĐT</v>
      </c>
    </row>
    <row r="36" spans="1:20" ht="35.450000000000003" customHeight="1">
      <c r="A36" s="484">
        <v>12</v>
      </c>
      <c r="B36" s="492" t="s">
        <v>1417</v>
      </c>
      <c r="C36" s="497" t="str">
        <f>VLOOKUP($B36,DATA!$B$14:$AU$589,6,0)</f>
        <v>Bố Trạch</v>
      </c>
      <c r="D36" s="497" t="str">
        <f>VLOOKUP($B36,DATA!$B$14:$AU$589,36,0)</f>
        <v>Phú Định</v>
      </c>
      <c r="E36" s="497" t="str">
        <f>VLOOKUP($B36,DATA!$B$14:$AU$589,37,0)</f>
        <v>NN-TL</v>
      </c>
      <c r="F36" s="497"/>
      <c r="G36" s="497" t="s">
        <v>2106</v>
      </c>
      <c r="H36" s="497">
        <f>VLOOKUP($B36,DATA!$B$14:$AU$589,7,0)</f>
        <v>2019</v>
      </c>
      <c r="I36" s="497">
        <f>VLOOKUP($B36,DATA!$B$14:$AU$589,9,0)</f>
        <v>2021</v>
      </c>
      <c r="J36" s="497" t="str">
        <f>VLOOKUP($B36,DATA!$B$14:$AU$589,12,0)</f>
        <v>3883/QĐ-UBND ngày 31/10/2018</v>
      </c>
      <c r="K36" s="483">
        <f>VLOOKUP($B36,DATA!$B$14:$AU$589,13,0)</f>
        <v>5000</v>
      </c>
      <c r="L36" s="483">
        <f>VLOOKUP($B36,DATA!$B$14:$AU$589,15,0)</f>
        <v>3000</v>
      </c>
      <c r="M36" s="483">
        <f>VLOOKUP($B36,DATA!$B$14:$AU$589,26,0)</f>
        <v>0</v>
      </c>
      <c r="N36" s="483">
        <f>VLOOKUP($B36,DATA!$B$14:$AU$589,28,0)</f>
        <v>0</v>
      </c>
      <c r="O36" s="483">
        <f>VLOOKUP($B36,DATA!$B$14:$AU$589,29,0)</f>
        <v>1800</v>
      </c>
      <c r="P36" s="483">
        <f>VLOOKUP($B36,DATA!$B$14:$AU$589,30,0)</f>
        <v>1800</v>
      </c>
      <c r="Q36" s="483">
        <f t="shared" si="5"/>
        <v>900</v>
      </c>
      <c r="R36" s="497">
        <v>50</v>
      </c>
      <c r="S36" s="515" t="s">
        <v>1628</v>
      </c>
      <c r="T36" s="497" t="str">
        <f>VLOOKUP($B36,DATA!$B$14:$AU$589,33,0)</f>
        <v>QĐ CTĐT không bố trí từng năm</v>
      </c>
    </row>
    <row r="37" spans="1:20" ht="35.450000000000003" customHeight="1">
      <c r="A37" s="484">
        <v>13</v>
      </c>
      <c r="B37" s="491" t="s">
        <v>1468</v>
      </c>
      <c r="C37" s="497" t="str">
        <f>VLOOKUP($B37,DATA!$B$14:$AU$589,6,0)</f>
        <v>Tuyên Hóa</v>
      </c>
      <c r="D37" s="497" t="str">
        <f>VLOOKUP($B37,DATA!$B$14:$AU$589,36,0)</f>
        <v>Đức Hóa</v>
      </c>
      <c r="E37" s="497" t="str">
        <f>VLOOKUP($B37,DATA!$B$14:$AU$589,37,0)</f>
        <v>Khác</v>
      </c>
      <c r="F37" s="497"/>
      <c r="G37" s="497" t="s">
        <v>2106</v>
      </c>
      <c r="H37" s="497">
        <f>VLOOKUP($B37,DATA!$B$14:$AU$589,7,0)</f>
        <v>2019</v>
      </c>
      <c r="I37" s="497">
        <f>VLOOKUP($B37,DATA!$B$14:$AU$589,9,0)</f>
        <v>2021</v>
      </c>
      <c r="J37" s="497" t="str">
        <f>VLOOKUP($B37,DATA!$B$14:$AU$589,12,0)</f>
        <v>3823/QĐ-UBND ngày 31/10/2018</v>
      </c>
      <c r="K37" s="483">
        <f>VLOOKUP($B37,DATA!$B$14:$AU$589,13,0)</f>
        <v>5000</v>
      </c>
      <c r="L37" s="483">
        <f>VLOOKUP($B37,DATA!$B$14:$AU$589,15,0)</f>
        <v>3000</v>
      </c>
      <c r="M37" s="483">
        <f>VLOOKUP($B37,DATA!$B$14:$AU$589,26,0)</f>
        <v>0</v>
      </c>
      <c r="N37" s="483">
        <f>VLOOKUP($B37,DATA!$B$14:$AU$589,28,0)</f>
        <v>0</v>
      </c>
      <c r="O37" s="483">
        <f>VLOOKUP($B37,DATA!$B$14:$AU$589,29,0)</f>
        <v>1800</v>
      </c>
      <c r="P37" s="483">
        <f>VLOOKUP($B37,DATA!$B$14:$AU$589,30,0)</f>
        <v>1800</v>
      </c>
      <c r="Q37" s="483">
        <f t="shared" si="5"/>
        <v>900</v>
      </c>
      <c r="R37" s="497">
        <v>50</v>
      </c>
      <c r="S37" s="515" t="s">
        <v>1628</v>
      </c>
      <c r="T37" s="497">
        <f>VLOOKUP($B37,DATA!$B$14:$AU$589,33,0)</f>
        <v>0</v>
      </c>
    </row>
    <row r="38" spans="1:20" ht="35.450000000000003" customHeight="1">
      <c r="A38" s="484">
        <v>14</v>
      </c>
      <c r="B38" s="492" t="s">
        <v>1427</v>
      </c>
      <c r="C38" s="497" t="str">
        <f>VLOOKUP($B38,DATA!$B$14:$AU$589,6,0)</f>
        <v>Quảng Ninh</v>
      </c>
      <c r="D38" s="497" t="str">
        <f>VLOOKUP($B38,DATA!$B$14:$AU$589,36,0)</f>
        <v>Gia Ninh</v>
      </c>
      <c r="E38" s="497" t="str">
        <f>VLOOKUP($B38,DATA!$B$14:$AU$589,37,0)</f>
        <v>GT</v>
      </c>
      <c r="F38" s="497"/>
      <c r="G38" s="497" t="s">
        <v>2106</v>
      </c>
      <c r="H38" s="497">
        <f>VLOOKUP($B38,DATA!$B$14:$AU$589,7,0)</f>
        <v>2019</v>
      </c>
      <c r="I38" s="497">
        <f>VLOOKUP($B38,DATA!$B$14:$AU$589,9,0)</f>
        <v>2021</v>
      </c>
      <c r="J38" s="497" t="str">
        <f>VLOOKUP($B38,DATA!$B$14:$AU$589,12,0)</f>
        <v>3735/QĐ-UBND ngày 30/10/2018</v>
      </c>
      <c r="K38" s="483">
        <f>VLOOKUP($B38,DATA!$B$14:$AU$589,13,0)</f>
        <v>6500</v>
      </c>
      <c r="L38" s="483">
        <f>VLOOKUP($B38,DATA!$B$14:$AU$589,15,0)</f>
        <v>3900</v>
      </c>
      <c r="M38" s="483">
        <f>VLOOKUP($B38,DATA!$B$14:$AU$589,26,0)</f>
        <v>0</v>
      </c>
      <c r="N38" s="483">
        <f>VLOOKUP($B38,DATA!$B$14:$AU$589,28,0)</f>
        <v>0</v>
      </c>
      <c r="O38" s="483">
        <f>VLOOKUP($B38,DATA!$B$14:$AU$589,29,0)</f>
        <v>2340</v>
      </c>
      <c r="P38" s="483">
        <f>VLOOKUP($B38,DATA!$B$14:$AU$589,30,0)</f>
        <v>2340</v>
      </c>
      <c r="Q38" s="483">
        <f t="shared" si="5"/>
        <v>1170</v>
      </c>
      <c r="R38" s="497">
        <v>50</v>
      </c>
      <c r="S38" s="515" t="s">
        <v>1628</v>
      </c>
      <c r="T38" s="497" t="str">
        <f>VLOOKUP($B38,DATA!$B$14:$AU$589,33,0)</f>
        <v>QĐ CTĐT không bố trí từng năm</v>
      </c>
    </row>
    <row r="39" spans="1:20" ht="35.450000000000003" customHeight="1">
      <c r="A39" s="484">
        <v>15</v>
      </c>
      <c r="B39" s="491" t="s">
        <v>1461</v>
      </c>
      <c r="C39" s="497" t="str">
        <f>VLOOKUP($B39,DATA!$B$14:$AU$589,6,0)</f>
        <v>Đồng Hới</v>
      </c>
      <c r="D39" s="497" t="str">
        <f>VLOOKUP($B39,DATA!$B$14:$AU$589,36,0)</f>
        <v>Nam Lý</v>
      </c>
      <c r="E39" s="497" t="str">
        <f>VLOOKUP($B39,DATA!$B$14:$AU$589,37,0)</f>
        <v>Khác</v>
      </c>
      <c r="F39" s="497"/>
      <c r="G39" s="497" t="s">
        <v>2106</v>
      </c>
      <c r="H39" s="497">
        <f>VLOOKUP($B39,DATA!$B$14:$AU$589,7,0)</f>
        <v>2019</v>
      </c>
      <c r="I39" s="497">
        <f>VLOOKUP($B39,DATA!$B$14:$AU$589,9,0)</f>
        <v>2021</v>
      </c>
      <c r="J39" s="497" t="str">
        <f>VLOOKUP($B39,DATA!$B$14:$AU$589,12,0)</f>
        <v xml:space="preserve">3890a/QĐ-UBND ngày 31/10/2018 </v>
      </c>
      <c r="K39" s="483">
        <f>VLOOKUP($B39,DATA!$B$14:$AU$589,13,0)</f>
        <v>3957</v>
      </c>
      <c r="L39" s="483">
        <f>VLOOKUP($B39,DATA!$B$14:$AU$589,15,0)</f>
        <v>3957</v>
      </c>
      <c r="M39" s="483">
        <f>VLOOKUP($B39,DATA!$B$14:$AU$589,26,0)</f>
        <v>0</v>
      </c>
      <c r="N39" s="483">
        <f>VLOOKUP($B39,DATA!$B$14:$AU$589,28,0)</f>
        <v>0</v>
      </c>
      <c r="O39" s="483">
        <f>VLOOKUP($B39,DATA!$B$14:$AU$589,29,0)</f>
        <v>2374.1999999999998</v>
      </c>
      <c r="P39" s="483">
        <f>VLOOKUP($B39,DATA!$B$14:$AU$589,30,0)</f>
        <v>2374.1999999999998</v>
      </c>
      <c r="Q39" s="483">
        <f t="shared" si="5"/>
        <v>1187.0999999999999</v>
      </c>
      <c r="R39" s="497">
        <v>50</v>
      </c>
      <c r="S39" s="515" t="s">
        <v>1628</v>
      </c>
      <c r="T39" s="497">
        <f>VLOOKUP($B39,DATA!$B$14:$AU$589,33,0)</f>
        <v>0</v>
      </c>
    </row>
    <row r="40" spans="1:20" ht="35.450000000000003" customHeight="1">
      <c r="A40" s="484">
        <v>16</v>
      </c>
      <c r="B40" s="491" t="s">
        <v>1383</v>
      </c>
      <c r="C40" s="497" t="str">
        <f>VLOOKUP($B40,DATA!$B$14:$AU$589,6,0)</f>
        <v>Quảng Trạch</v>
      </c>
      <c r="D40" s="497" t="str">
        <f>VLOOKUP($B40,DATA!$B$14:$AU$589,36,0)</f>
        <v>Quảng Phương</v>
      </c>
      <c r="E40" s="497" t="str">
        <f>VLOOKUP($B40,DATA!$B$14:$AU$589,37,0)</f>
        <v>GT</v>
      </c>
      <c r="F40" s="497"/>
      <c r="G40" s="497" t="s">
        <v>2106</v>
      </c>
      <c r="H40" s="497">
        <f>VLOOKUP($B40,DATA!$B$14:$AU$589,7,0)</f>
        <v>2019</v>
      </c>
      <c r="I40" s="497">
        <f>VLOOKUP($B40,DATA!$B$14:$AU$589,9,0)</f>
        <v>2021</v>
      </c>
      <c r="J40" s="497" t="str">
        <f>VLOOKUP($B40,DATA!$B$14:$AU$589,12,0)</f>
        <v>3041/QĐ-UBND ngày 13/9/2018</v>
      </c>
      <c r="K40" s="483">
        <f>VLOOKUP($B40,DATA!$B$14:$AU$589,13,0)</f>
        <v>6800</v>
      </c>
      <c r="L40" s="483">
        <f>VLOOKUP($B40,DATA!$B$14:$AU$589,15,0)</f>
        <v>4000</v>
      </c>
      <c r="M40" s="483">
        <f>VLOOKUP($B40,DATA!$B$14:$AU$589,26,0)</f>
        <v>0</v>
      </c>
      <c r="N40" s="483">
        <f>VLOOKUP($B40,DATA!$B$14:$AU$589,28,0)</f>
        <v>0</v>
      </c>
      <c r="O40" s="483">
        <f>VLOOKUP($B40,DATA!$B$14:$AU$589,29,0)</f>
        <v>2400</v>
      </c>
      <c r="P40" s="483">
        <f>VLOOKUP($B40,DATA!$B$14:$AU$589,30,0)</f>
        <v>2400</v>
      </c>
      <c r="Q40" s="483">
        <f t="shared" si="5"/>
        <v>1200</v>
      </c>
      <c r="R40" s="497">
        <v>50</v>
      </c>
      <c r="S40" s="515" t="s">
        <v>1628</v>
      </c>
      <c r="T40" s="497" t="str">
        <f>VLOOKUP($B40,DATA!$B$14:$AU$589,33,0)</f>
        <v>bổ sung dự án, bố trí KH vốn theo CTĐT</v>
      </c>
    </row>
    <row r="41" spans="1:20" ht="35.450000000000003" customHeight="1">
      <c r="A41" s="484">
        <v>17</v>
      </c>
      <c r="B41" s="491" t="s">
        <v>1379</v>
      </c>
      <c r="C41" s="497" t="str">
        <f>VLOOKUP($B41,DATA!$B$14:$AU$589,6,0)</f>
        <v>Quảng Trạch</v>
      </c>
      <c r="D41" s="497" t="str">
        <f>VLOOKUP($B41,DATA!$B$14:$AU$589,36,0)</f>
        <v>Quảng Phương</v>
      </c>
      <c r="E41" s="497" t="str">
        <f>VLOOKUP($B41,DATA!$B$14:$AU$589,37,0)</f>
        <v>Khác</v>
      </c>
      <c r="F41" s="497"/>
      <c r="G41" s="497" t="s">
        <v>2106</v>
      </c>
      <c r="H41" s="497">
        <f>VLOOKUP($B41,DATA!$B$14:$AU$589,7,0)</f>
        <v>2019</v>
      </c>
      <c r="I41" s="497">
        <f>VLOOKUP($B41,DATA!$B$14:$AU$589,9,0)</f>
        <v>2021</v>
      </c>
      <c r="J41" s="497" t="str">
        <f>VLOOKUP($B41,DATA!$B$14:$AU$589,12,0)</f>
        <v>1834/QĐ-UBND ngày 05/6/2018</v>
      </c>
      <c r="K41" s="483">
        <f>VLOOKUP($B41,DATA!$B$14:$AU$589,13,0)</f>
        <v>7000</v>
      </c>
      <c r="L41" s="483">
        <f>VLOOKUP($B41,DATA!$B$14:$AU$589,15,0)</f>
        <v>4200</v>
      </c>
      <c r="M41" s="483">
        <f>VLOOKUP($B41,DATA!$B$14:$AU$589,26,0)</f>
        <v>0</v>
      </c>
      <c r="N41" s="483">
        <f>VLOOKUP($B41,DATA!$B$14:$AU$589,28,0)</f>
        <v>0</v>
      </c>
      <c r="O41" s="483">
        <f>VLOOKUP($B41,DATA!$B$14:$AU$589,29,0)</f>
        <v>2520</v>
      </c>
      <c r="P41" s="483">
        <f>VLOOKUP($B41,DATA!$B$14:$AU$589,30,0)</f>
        <v>2520</v>
      </c>
      <c r="Q41" s="483">
        <f t="shared" si="5"/>
        <v>1260</v>
      </c>
      <c r="R41" s="497">
        <v>50</v>
      </c>
      <c r="S41" s="515" t="s">
        <v>1628</v>
      </c>
      <c r="T41" s="497" t="s">
        <v>1381</v>
      </c>
    </row>
    <row r="42" spans="1:20" ht="35.450000000000003" customHeight="1">
      <c r="A42" s="484">
        <v>18</v>
      </c>
      <c r="B42" s="490" t="s">
        <v>1377</v>
      </c>
      <c r="C42" s="497" t="str">
        <f>VLOOKUP($B42,DATA!$B$14:$AU$589,6,0)</f>
        <v>Quảng Trạch</v>
      </c>
      <c r="D42" s="497" t="str">
        <f>VLOOKUP($B42,DATA!$B$14:$AU$589,36,0)</f>
        <v>Quảng Xuân</v>
      </c>
      <c r="E42" s="497" t="str">
        <f>VLOOKUP($B42,DATA!$B$14:$AU$589,37,0)</f>
        <v>GT</v>
      </c>
      <c r="F42" s="497"/>
      <c r="G42" s="497" t="s">
        <v>2106</v>
      </c>
      <c r="H42" s="497">
        <f>VLOOKUP($B42,DATA!$B$14:$AU$589,7,0)</f>
        <v>2019</v>
      </c>
      <c r="I42" s="497">
        <f>VLOOKUP($B42,DATA!$B$14:$AU$589,9,0)</f>
        <v>2021</v>
      </c>
      <c r="J42" s="497" t="str">
        <f>VLOOKUP($B42,DATA!$B$14:$AU$589,12,0)</f>
        <v>3724/QĐ-UBND ngày 30/10/2018</v>
      </c>
      <c r="K42" s="483">
        <f>VLOOKUP($B42,DATA!$B$14:$AU$589,13,0)</f>
        <v>7000</v>
      </c>
      <c r="L42" s="483">
        <f>VLOOKUP($B42,DATA!$B$14:$AU$589,15,0)</f>
        <v>4200</v>
      </c>
      <c r="M42" s="483">
        <f>VLOOKUP($B42,DATA!$B$14:$AU$589,26,0)</f>
        <v>0</v>
      </c>
      <c r="N42" s="483">
        <f>VLOOKUP($B42,DATA!$B$14:$AU$589,28,0)</f>
        <v>0</v>
      </c>
      <c r="O42" s="483">
        <f>VLOOKUP($B42,DATA!$B$14:$AU$589,29,0)</f>
        <v>2520</v>
      </c>
      <c r="P42" s="483">
        <f>VLOOKUP($B42,DATA!$B$14:$AU$589,30,0)</f>
        <v>2520</v>
      </c>
      <c r="Q42" s="483">
        <f t="shared" si="5"/>
        <v>1260</v>
      </c>
      <c r="R42" s="497">
        <v>50</v>
      </c>
      <c r="S42" s="515" t="s">
        <v>1628</v>
      </c>
      <c r="T42" s="497" t="str">
        <f>VLOOKUP($B42,DATA!$B$14:$AU$589,33,0)</f>
        <v>bố trí KH vốn theo CTĐT</v>
      </c>
    </row>
    <row r="43" spans="1:20" ht="35.450000000000003" customHeight="1">
      <c r="A43" s="484">
        <v>19</v>
      </c>
      <c r="B43" s="492" t="s">
        <v>1412</v>
      </c>
      <c r="C43" s="497" t="str">
        <f>VLOOKUP($B43,DATA!$B$14:$AU$589,6,0)</f>
        <v>Minh Hóa</v>
      </c>
      <c r="D43" s="497" t="str">
        <f>VLOOKUP($B43,DATA!$B$14:$AU$589,36,0)</f>
        <v>Yên Hóa</v>
      </c>
      <c r="E43" s="497" t="str">
        <f>VLOOKUP($B43,DATA!$B$14:$AU$589,37,0)</f>
        <v>GT</v>
      </c>
      <c r="F43" s="497"/>
      <c r="G43" s="497" t="s">
        <v>2106</v>
      </c>
      <c r="H43" s="497">
        <f>VLOOKUP($B43,DATA!$B$14:$AU$589,7,0)</f>
        <v>2019</v>
      </c>
      <c r="I43" s="497">
        <f>VLOOKUP($B43,DATA!$B$14:$AU$589,9,0)</f>
        <v>2021</v>
      </c>
      <c r="J43" s="497" t="str">
        <f>VLOOKUP($B43,DATA!$B$14:$AU$589,12,0)</f>
        <v>3801/QĐ-UBND ngày 31/10/2018</v>
      </c>
      <c r="K43" s="483">
        <f>VLOOKUP($B43,DATA!$B$14:$AU$589,13,0)</f>
        <v>7000</v>
      </c>
      <c r="L43" s="483">
        <f>VLOOKUP($B43,DATA!$B$14:$AU$589,15,0)</f>
        <v>4200</v>
      </c>
      <c r="M43" s="483">
        <f>VLOOKUP($B43,DATA!$B$14:$AU$589,26,0)</f>
        <v>0</v>
      </c>
      <c r="N43" s="483">
        <f>VLOOKUP($B43,DATA!$B$14:$AU$589,28,0)</f>
        <v>0</v>
      </c>
      <c r="O43" s="483">
        <f>VLOOKUP($B43,DATA!$B$14:$AU$589,29,0)</f>
        <v>2520</v>
      </c>
      <c r="P43" s="483">
        <f>VLOOKUP($B43,DATA!$B$14:$AU$589,30,0)</f>
        <v>2520</v>
      </c>
      <c r="Q43" s="483">
        <f t="shared" si="5"/>
        <v>1260</v>
      </c>
      <c r="R43" s="497">
        <v>50</v>
      </c>
      <c r="S43" s="515" t="s">
        <v>1628</v>
      </c>
      <c r="T43" s="497" t="str">
        <f>VLOOKUP($B43,DATA!$B$14:$AU$589,33,0)</f>
        <v>Bố trí KH 2019 theo QĐ CTĐT</v>
      </c>
    </row>
    <row r="44" spans="1:20" ht="35.450000000000003" customHeight="1">
      <c r="A44" s="484">
        <v>20</v>
      </c>
      <c r="B44" s="488" t="s">
        <v>1420</v>
      </c>
      <c r="C44" s="497" t="str">
        <f>VLOOKUP($B44,DATA!$B$14:$AU$589,6,0)</f>
        <v>Quảng Ninh</v>
      </c>
      <c r="D44" s="497" t="str">
        <f>VLOOKUP($B44,DATA!$B$14:$AU$589,36,0)</f>
        <v>Gia Ninh</v>
      </c>
      <c r="E44" s="497" t="str">
        <f>VLOOKUP($B44,DATA!$B$14:$AU$589,37,0)</f>
        <v>NN-TL</v>
      </c>
      <c r="F44" s="497"/>
      <c r="G44" s="497" t="s">
        <v>2106</v>
      </c>
      <c r="H44" s="497">
        <f>VLOOKUP($B44,DATA!$B$14:$AU$589,7,0)</f>
        <v>2019</v>
      </c>
      <c r="I44" s="497">
        <f>VLOOKUP($B44,DATA!$B$14:$AU$589,9,0)</f>
        <v>2021</v>
      </c>
      <c r="J44" s="497" t="str">
        <f>VLOOKUP($B44,DATA!$B$14:$AU$589,12,0)</f>
        <v>3871/QĐ-UBND ngày 31/10/2018</v>
      </c>
      <c r="K44" s="483">
        <f>VLOOKUP($B44,DATA!$B$14:$AU$589,13,0)</f>
        <v>4500</v>
      </c>
      <c r="L44" s="483">
        <f>VLOOKUP($B44,DATA!$B$14:$AU$589,15,0)</f>
        <v>4500</v>
      </c>
      <c r="M44" s="483">
        <f>VLOOKUP($B44,DATA!$B$14:$AU$589,26,0)</f>
        <v>0</v>
      </c>
      <c r="N44" s="483">
        <f>VLOOKUP($B44,DATA!$B$14:$AU$589,28,0)</f>
        <v>0</v>
      </c>
      <c r="O44" s="483">
        <f>VLOOKUP($B44,DATA!$B$14:$AU$589,29,0)</f>
        <v>2700</v>
      </c>
      <c r="P44" s="483">
        <f>VLOOKUP($B44,DATA!$B$14:$AU$589,30,0)</f>
        <v>2700</v>
      </c>
      <c r="Q44" s="483">
        <f t="shared" si="5"/>
        <v>1350</v>
      </c>
      <c r="R44" s="497">
        <v>50</v>
      </c>
      <c r="S44" s="515" t="s">
        <v>1628</v>
      </c>
      <c r="T44" s="497" t="str">
        <f>VLOOKUP($B44,DATA!$B$14:$AU$589,33,0)</f>
        <v>TMĐT 4500, tên có giai đoạn 2</v>
      </c>
    </row>
    <row r="45" spans="1:20" ht="35.450000000000003" customHeight="1">
      <c r="A45" s="484">
        <v>21</v>
      </c>
      <c r="B45" s="490" t="s">
        <v>1373</v>
      </c>
      <c r="C45" s="497" t="str">
        <f>VLOOKUP($B45,DATA!$B$14:$AU$589,6,0)</f>
        <v>Ba Đồn</v>
      </c>
      <c r="D45" s="497" t="str">
        <f>VLOOKUP($B45,DATA!$B$14:$AU$589,36,0)</f>
        <v>Quảng Lộc</v>
      </c>
      <c r="E45" s="497" t="str">
        <f>VLOOKUP($B45,DATA!$B$14:$AU$589,37,0)</f>
        <v>GT</v>
      </c>
      <c r="F45" s="497"/>
      <c r="G45" s="497" t="s">
        <v>2106</v>
      </c>
      <c r="H45" s="497">
        <f>VLOOKUP($B45,DATA!$B$14:$AU$589,7,0)</f>
        <v>2019</v>
      </c>
      <c r="I45" s="497">
        <f>VLOOKUP($B45,DATA!$B$14:$AU$589,9,0)</f>
        <v>2021</v>
      </c>
      <c r="J45" s="497" t="str">
        <f>VLOOKUP($B45,DATA!$B$14:$AU$589,12,0)</f>
        <v>3670/QĐ-UBND ngày 29/10/2018</v>
      </c>
      <c r="K45" s="483">
        <f>VLOOKUP($B45,DATA!$B$14:$AU$589,13,0)</f>
        <v>8223</v>
      </c>
      <c r="L45" s="483">
        <f>VLOOKUP($B45,DATA!$B$14:$AU$589,15,0)</f>
        <v>4933</v>
      </c>
      <c r="M45" s="483">
        <f>VLOOKUP($B45,DATA!$B$14:$AU$589,26,0)</f>
        <v>0</v>
      </c>
      <c r="N45" s="483">
        <f>VLOOKUP($B45,DATA!$B$14:$AU$589,28,0)</f>
        <v>0</v>
      </c>
      <c r="O45" s="483">
        <f>VLOOKUP($B45,DATA!$B$14:$AU$589,29,0)</f>
        <v>2959.7999999999997</v>
      </c>
      <c r="P45" s="483">
        <f>VLOOKUP($B45,DATA!$B$14:$AU$589,30,0)</f>
        <v>2959.7999999999997</v>
      </c>
      <c r="Q45" s="483">
        <f t="shared" si="5"/>
        <v>1479.9</v>
      </c>
      <c r="R45" s="497">
        <v>50</v>
      </c>
      <c r="S45" s="515" t="s">
        <v>1628</v>
      </c>
      <c r="T45" s="497" t="str">
        <f>VLOOKUP($B45,DATA!$B$14:$AU$589,33,0)</f>
        <v>bố trí KH vốn theo CTĐT</v>
      </c>
    </row>
    <row r="46" spans="1:20" ht="35.450000000000003" customHeight="1">
      <c r="A46" s="484">
        <v>22</v>
      </c>
      <c r="B46" s="490" t="s">
        <v>1393</v>
      </c>
      <c r="C46" s="497" t="str">
        <f>VLOOKUP($B46,DATA!$B$14:$AU$589,6,0)</f>
        <v>Ba Đồn</v>
      </c>
      <c r="D46" s="497" t="str">
        <f>VLOOKUP($B46,DATA!$B$14:$AU$589,36,0)</f>
        <v>Quảng Thủy</v>
      </c>
      <c r="E46" s="497" t="str">
        <f>VLOOKUP($B46,DATA!$B$14:$AU$589,37,0)</f>
        <v>Khác</v>
      </c>
      <c r="F46" s="497"/>
      <c r="G46" s="497" t="s">
        <v>2106</v>
      </c>
      <c r="H46" s="497">
        <f>VLOOKUP($B46,DATA!$B$14:$AU$589,7,0)</f>
        <v>2019</v>
      </c>
      <c r="I46" s="497">
        <f>VLOOKUP($B46,DATA!$B$14:$AU$589,9,0)</f>
        <v>2021</v>
      </c>
      <c r="J46" s="497" t="str">
        <f>VLOOKUP($B46,DATA!$B$14:$AU$589,12,0)</f>
        <v>3805/QĐ-UBND ngày 31/10/2018</v>
      </c>
      <c r="K46" s="483">
        <f>VLOOKUP($B46,DATA!$B$14:$AU$589,13,0)</f>
        <v>5500</v>
      </c>
      <c r="L46" s="483">
        <f>VLOOKUP($B46,DATA!$B$14:$AU$589,15,0)</f>
        <v>3000</v>
      </c>
      <c r="M46" s="483">
        <f>VLOOKUP($B46,DATA!$B$14:$AU$589,26,0)</f>
        <v>0</v>
      </c>
      <c r="N46" s="483">
        <f>VLOOKUP($B46,DATA!$B$14:$AU$589,28,0)</f>
        <v>0</v>
      </c>
      <c r="O46" s="483">
        <f>VLOOKUP($B46,DATA!$B$14:$AU$589,29,0)</f>
        <v>1800</v>
      </c>
      <c r="P46" s="483">
        <f>VLOOKUP($B46,DATA!$B$14:$AU$589,30,0)</f>
        <v>1800</v>
      </c>
      <c r="Q46" s="483">
        <f t="shared" si="5"/>
        <v>900</v>
      </c>
      <c r="R46" s="497">
        <v>50</v>
      </c>
      <c r="S46" s="515" t="s">
        <v>1628</v>
      </c>
      <c r="T46" s="497" t="str">
        <f>VLOOKUP($B46,DATA!$B$14:$AU$589,33,0)</f>
        <v>bố trí KH vốn theo CTĐT</v>
      </c>
    </row>
    <row r="47" spans="1:20" ht="35.450000000000003" customHeight="1">
      <c r="A47" s="484">
        <v>23</v>
      </c>
      <c r="B47" s="488" t="s">
        <v>1366</v>
      </c>
      <c r="C47" s="497" t="str">
        <f>VLOOKUP($B47,DATA!$B$14:$AU$589,6,0)</f>
        <v>Lệ Thủy</v>
      </c>
      <c r="D47" s="497" t="str">
        <f>VLOOKUP($B47,DATA!$B$14:$AU$589,36,0)</f>
        <v>Phú Thủy</v>
      </c>
      <c r="E47" s="497" t="str">
        <f>VLOOKUP($B47,DATA!$B$14:$AU$589,37,0)</f>
        <v>GT</v>
      </c>
      <c r="F47" s="497"/>
      <c r="G47" s="497" t="s">
        <v>2106</v>
      </c>
      <c r="H47" s="497">
        <f>VLOOKUP($B47,DATA!$B$14:$AU$589,7,0)</f>
        <v>2019</v>
      </c>
      <c r="I47" s="497">
        <f>VLOOKUP($B47,DATA!$B$14:$AU$589,9,0)</f>
        <v>2021</v>
      </c>
      <c r="J47" s="497" t="str">
        <f>VLOOKUP($B47,DATA!$B$14:$AU$589,12,0)</f>
        <v>3791/QĐ-UBND ngày 31/10/2018</v>
      </c>
      <c r="K47" s="483">
        <f>VLOOKUP($B47,DATA!$B$14:$AU$589,13,0)</f>
        <v>9000</v>
      </c>
      <c r="L47" s="483">
        <f>VLOOKUP($B47,DATA!$B$14:$AU$589,15,0)</f>
        <v>5400</v>
      </c>
      <c r="M47" s="483">
        <f>VLOOKUP($B47,DATA!$B$14:$AU$589,26,0)</f>
        <v>0</v>
      </c>
      <c r="N47" s="483">
        <f>VLOOKUP($B47,DATA!$B$14:$AU$589,28,0)</f>
        <v>0</v>
      </c>
      <c r="O47" s="483">
        <f>VLOOKUP($B47,DATA!$B$14:$AU$589,29,0)</f>
        <v>3240</v>
      </c>
      <c r="P47" s="483">
        <f>VLOOKUP($B47,DATA!$B$14:$AU$589,30,0)</f>
        <v>3240</v>
      </c>
      <c r="Q47" s="483">
        <f t="shared" si="5"/>
        <v>1620</v>
      </c>
      <c r="R47" s="497">
        <v>50</v>
      </c>
      <c r="S47" s="515" t="s">
        <v>1628</v>
      </c>
      <c r="T47" s="497" t="str">
        <f>VLOOKUP($B47,DATA!$B$14:$AU$589,33,0)</f>
        <v>Bổ sung danh mục, bố trí KH 2019 theo QĐ CTĐT</v>
      </c>
    </row>
    <row r="48" spans="1:20" ht="35.450000000000003" customHeight="1">
      <c r="A48" s="484">
        <v>24</v>
      </c>
      <c r="B48" s="488" t="s">
        <v>1925</v>
      </c>
      <c r="C48" s="497" t="str">
        <f>VLOOKUP($B48,DATA!$B$14:$AU$589,6,0)</f>
        <v>Quảng Ninh</v>
      </c>
      <c r="D48" s="497" t="str">
        <f>VLOOKUP($B48,DATA!$B$14:$AU$589,36,0)</f>
        <v>Vĩnh Ninh</v>
      </c>
      <c r="E48" s="497" t="str">
        <f>VLOOKUP($B48,DATA!$B$14:$AU$589,37,0)</f>
        <v>GT</v>
      </c>
      <c r="F48" s="497"/>
      <c r="G48" s="497" t="s">
        <v>2106</v>
      </c>
      <c r="H48" s="497">
        <f>VLOOKUP($B48,DATA!$B$14:$AU$589,7,0)</f>
        <v>2019</v>
      </c>
      <c r="I48" s="497">
        <f>VLOOKUP($B48,DATA!$B$14:$AU$589,9,0)</f>
        <v>2021</v>
      </c>
      <c r="J48" s="497" t="str">
        <f>VLOOKUP($B48,DATA!$B$14:$AU$589,12,0)</f>
        <v>3736/QĐ-UBND ngày 30/10/2018</v>
      </c>
      <c r="K48" s="483">
        <f>VLOOKUP($B48,DATA!$B$14:$AU$589,13,0)</f>
        <v>9500</v>
      </c>
      <c r="L48" s="483">
        <f>VLOOKUP($B48,DATA!$B$14:$AU$589,15,0)</f>
        <v>5700</v>
      </c>
      <c r="M48" s="483">
        <f>VLOOKUP($B48,DATA!$B$14:$AU$589,26,0)</f>
        <v>0</v>
      </c>
      <c r="N48" s="483">
        <f>VLOOKUP($B48,DATA!$B$14:$AU$589,28,0)</f>
        <v>0</v>
      </c>
      <c r="O48" s="483">
        <f>VLOOKUP($B48,DATA!$B$14:$AU$589,29,0)</f>
        <v>3420</v>
      </c>
      <c r="P48" s="483">
        <f>VLOOKUP($B48,DATA!$B$14:$AU$589,30,0)</f>
        <v>3420</v>
      </c>
      <c r="Q48" s="483">
        <f t="shared" si="5"/>
        <v>1710</v>
      </c>
      <c r="R48" s="497">
        <v>50</v>
      </c>
      <c r="S48" s="515" t="s">
        <v>1628</v>
      </c>
      <c r="T48" s="497" t="str">
        <f>VLOOKUP($B48,DATA!$B$14:$AU$589,33,0)</f>
        <v>Bố trí vượt thu 4 tỷ gđ 1, sửa lại danh mục có thêm chữ gd2</v>
      </c>
    </row>
    <row r="49" spans="1:20" ht="35.450000000000003" customHeight="1">
      <c r="A49" s="484">
        <v>25</v>
      </c>
      <c r="B49" s="490" t="s">
        <v>1371</v>
      </c>
      <c r="C49" s="497" t="str">
        <f>VLOOKUP($B49,DATA!$B$14:$AU$589,6,0)</f>
        <v>Ba Đồn</v>
      </c>
      <c r="D49" s="497" t="str">
        <f>VLOOKUP($B49,DATA!$B$14:$AU$589,36,0)</f>
        <v>Quảng Phong</v>
      </c>
      <c r="E49" s="497" t="str">
        <f>VLOOKUP($B49,DATA!$B$14:$AU$589,37,0)</f>
        <v>GT</v>
      </c>
      <c r="F49" s="497"/>
      <c r="G49" s="497" t="s">
        <v>2106</v>
      </c>
      <c r="H49" s="497">
        <f>VLOOKUP($B49,DATA!$B$14:$AU$589,7,0)</f>
        <v>2019</v>
      </c>
      <c r="I49" s="497">
        <f>VLOOKUP($B49,DATA!$B$14:$AU$589,9,0)</f>
        <v>2021</v>
      </c>
      <c r="J49" s="497" t="str">
        <f>VLOOKUP($B49,DATA!$B$14:$AU$589,12,0)</f>
        <v>3725/QĐ-UBND ngày 30/10/2018</v>
      </c>
      <c r="K49" s="483">
        <f>VLOOKUP($B49,DATA!$B$14:$AU$589,13,0)</f>
        <v>10000</v>
      </c>
      <c r="L49" s="483">
        <f>VLOOKUP($B49,DATA!$B$14:$AU$589,15,0)</f>
        <v>6000</v>
      </c>
      <c r="M49" s="483">
        <f>VLOOKUP($B49,DATA!$B$14:$AU$589,26,0)</f>
        <v>0</v>
      </c>
      <c r="N49" s="483">
        <f>VLOOKUP($B49,DATA!$B$14:$AU$589,28,0)</f>
        <v>0</v>
      </c>
      <c r="O49" s="483">
        <f>VLOOKUP($B49,DATA!$B$14:$AU$589,29,0)</f>
        <v>3600</v>
      </c>
      <c r="P49" s="483">
        <f>VLOOKUP($B49,DATA!$B$14:$AU$589,30,0)</f>
        <v>3600</v>
      </c>
      <c r="Q49" s="483">
        <f t="shared" si="5"/>
        <v>1800</v>
      </c>
      <c r="R49" s="497">
        <v>50</v>
      </c>
      <c r="S49" s="515" t="s">
        <v>1628</v>
      </c>
      <c r="T49" s="497" t="str">
        <f>VLOOKUP($B49,DATA!$B$14:$AU$589,33,0)</f>
        <v>bố trí KH vốn theo CTĐT</v>
      </c>
    </row>
    <row r="50" spans="1:20" ht="35.450000000000003" customHeight="1">
      <c r="A50" s="484">
        <v>26</v>
      </c>
      <c r="B50" s="490" t="s">
        <v>1375</v>
      </c>
      <c r="C50" s="497" t="str">
        <f>VLOOKUP($B50,DATA!$B$14:$AU$589,6,0)</f>
        <v>Ba Đồn</v>
      </c>
      <c r="D50" s="497" t="str">
        <f>VLOOKUP($B50,DATA!$B$14:$AU$589,36,0)</f>
        <v>Quảng Phúc</v>
      </c>
      <c r="E50" s="497" t="str">
        <f>VLOOKUP($B50,DATA!$B$14:$AU$589,37,0)</f>
        <v>GT</v>
      </c>
      <c r="F50" s="497"/>
      <c r="G50" s="497" t="s">
        <v>2106</v>
      </c>
      <c r="H50" s="497">
        <f>VLOOKUP($B50,DATA!$B$14:$AU$589,7,0)</f>
        <v>2019</v>
      </c>
      <c r="I50" s="497">
        <f>VLOOKUP($B50,DATA!$B$14:$AU$589,9,0)</f>
        <v>2021</v>
      </c>
      <c r="J50" s="497" t="str">
        <f>VLOOKUP($B50,DATA!$B$14:$AU$589,12,0)</f>
        <v>3726/QĐ-UBND ngày 30/10/2018</v>
      </c>
      <c r="K50" s="483">
        <f>VLOOKUP($B50,DATA!$B$14:$AU$589,13,0)</f>
        <v>10000</v>
      </c>
      <c r="L50" s="483">
        <f>VLOOKUP($B50,DATA!$B$14:$AU$589,15,0)</f>
        <v>6000</v>
      </c>
      <c r="M50" s="483">
        <f>VLOOKUP($B50,DATA!$B$14:$AU$589,26,0)</f>
        <v>0</v>
      </c>
      <c r="N50" s="483">
        <f>VLOOKUP($B50,DATA!$B$14:$AU$589,28,0)</f>
        <v>0</v>
      </c>
      <c r="O50" s="483">
        <f>VLOOKUP($B50,DATA!$B$14:$AU$589,29,0)</f>
        <v>3600</v>
      </c>
      <c r="P50" s="483">
        <f>VLOOKUP($B50,DATA!$B$14:$AU$589,30,0)</f>
        <v>3600</v>
      </c>
      <c r="Q50" s="483">
        <f t="shared" si="5"/>
        <v>1800</v>
      </c>
      <c r="R50" s="497">
        <v>50</v>
      </c>
      <c r="S50" s="515" t="s">
        <v>1628</v>
      </c>
      <c r="T50" s="497" t="str">
        <f>VLOOKUP($B50,DATA!$B$14:$AU$589,33,0)</f>
        <v>bố trí KH vốn theo CTĐT</v>
      </c>
    </row>
    <row r="51" spans="1:20" ht="35.450000000000003" customHeight="1">
      <c r="A51" s="484">
        <v>27</v>
      </c>
      <c r="B51" s="492" t="s">
        <v>1387</v>
      </c>
      <c r="C51" s="497" t="str">
        <f>VLOOKUP($B51,DATA!$B$14:$AU$589,6,0)</f>
        <v>Minh Hóa</v>
      </c>
      <c r="D51" s="497" t="str">
        <f>VLOOKUP($B51,DATA!$B$14:$AU$589,36,0)</f>
        <v>Xuân Hóa</v>
      </c>
      <c r="E51" s="497" t="str">
        <f>VLOOKUP($B51,DATA!$B$14:$AU$589,37,0)</f>
        <v>GT</v>
      </c>
      <c r="F51" s="497"/>
      <c r="G51" s="497" t="s">
        <v>2106</v>
      </c>
      <c r="H51" s="497">
        <f>VLOOKUP($B51,DATA!$B$14:$AU$589,7,0)</f>
        <v>2019</v>
      </c>
      <c r="I51" s="497">
        <f>VLOOKUP($B51,DATA!$B$14:$AU$589,9,0)</f>
        <v>2021</v>
      </c>
      <c r="J51" s="497" t="str">
        <f>VLOOKUP($B51,DATA!$B$14:$AU$589,12,0)</f>
        <v>3831/QĐ-UBND ngày 31/10/2018</v>
      </c>
      <c r="K51" s="483">
        <f>VLOOKUP($B51,DATA!$B$14:$AU$589,13,0)</f>
        <v>10000</v>
      </c>
      <c r="L51" s="483">
        <f>VLOOKUP($B51,DATA!$B$14:$AU$589,15,0)</f>
        <v>6000</v>
      </c>
      <c r="M51" s="483">
        <f>VLOOKUP($B51,DATA!$B$14:$AU$589,26,0)</f>
        <v>0</v>
      </c>
      <c r="N51" s="483">
        <f>VLOOKUP($B51,DATA!$B$14:$AU$589,28,0)</f>
        <v>0</v>
      </c>
      <c r="O51" s="483">
        <f>VLOOKUP($B51,DATA!$B$14:$AU$589,29,0)</f>
        <v>3600</v>
      </c>
      <c r="P51" s="483">
        <f>VLOOKUP($B51,DATA!$B$14:$AU$589,30,0)</f>
        <v>3600</v>
      </c>
      <c r="Q51" s="483">
        <f t="shared" si="5"/>
        <v>1800</v>
      </c>
      <c r="R51" s="497">
        <v>50</v>
      </c>
      <c r="S51" s="515" t="s">
        <v>1628</v>
      </c>
      <c r="T51" s="497" t="str">
        <f>VLOOKUP($B51,DATA!$B$14:$AU$589,33,0)</f>
        <v>Bố trí KH 2019 theo QĐ CTĐT</v>
      </c>
    </row>
    <row r="52" spans="1:20" ht="35.450000000000003" customHeight="1">
      <c r="A52" s="484">
        <v>28</v>
      </c>
      <c r="B52" s="492" t="s">
        <v>1390</v>
      </c>
      <c r="C52" s="497" t="str">
        <f>VLOOKUP($B52,DATA!$B$14:$AU$589,6,0)</f>
        <v>Tuyên Hóa</v>
      </c>
      <c r="D52" s="497" t="str">
        <f>VLOOKUP($B52,DATA!$B$14:$AU$589,36,0)</f>
        <v>Sơn Hóa</v>
      </c>
      <c r="E52" s="497" t="str">
        <f>VLOOKUP($B52,DATA!$B$14:$AU$589,37,0)</f>
        <v>GT</v>
      </c>
      <c r="F52" s="497"/>
      <c r="G52" s="497" t="s">
        <v>2106</v>
      </c>
      <c r="H52" s="497">
        <f>VLOOKUP($B52,DATA!$B$14:$AU$589,7,0)</f>
        <v>2019</v>
      </c>
      <c r="I52" s="497">
        <f>VLOOKUP($B52,DATA!$B$14:$AU$589,9,0)</f>
        <v>2021</v>
      </c>
      <c r="J52" s="497" t="str">
        <f>VLOOKUP($B52,DATA!$B$14:$AU$589,12,0)</f>
        <v>3830/QĐ-UBND ngày 31/10/2018</v>
      </c>
      <c r="K52" s="483">
        <f>VLOOKUP($B52,DATA!$B$14:$AU$589,13,0)</f>
        <v>10000</v>
      </c>
      <c r="L52" s="483">
        <f>VLOOKUP($B52,DATA!$B$14:$AU$589,15,0)</f>
        <v>6000</v>
      </c>
      <c r="M52" s="483">
        <f>VLOOKUP($B52,DATA!$B$14:$AU$589,26,0)</f>
        <v>0</v>
      </c>
      <c r="N52" s="483">
        <f>VLOOKUP($B52,DATA!$B$14:$AU$589,28,0)</f>
        <v>0</v>
      </c>
      <c r="O52" s="483">
        <f>VLOOKUP($B52,DATA!$B$14:$AU$589,29,0)</f>
        <v>3600</v>
      </c>
      <c r="P52" s="483">
        <f>VLOOKUP($B52,DATA!$B$14:$AU$589,30,0)</f>
        <v>3600</v>
      </c>
      <c r="Q52" s="483">
        <f t="shared" si="5"/>
        <v>1800</v>
      </c>
      <c r="R52" s="497">
        <v>50</v>
      </c>
      <c r="S52" s="515" t="s">
        <v>1628</v>
      </c>
      <c r="T52" s="497" t="str">
        <f>VLOOKUP($B52,DATA!$B$14:$AU$589,33,0)</f>
        <v>2 tỷ/năm theo QĐ CTĐT</v>
      </c>
    </row>
    <row r="53" spans="1:20" ht="35.450000000000003" customHeight="1">
      <c r="A53" s="484">
        <v>29</v>
      </c>
      <c r="B53" s="488" t="s">
        <v>1431</v>
      </c>
      <c r="C53" s="497" t="str">
        <f>VLOOKUP($B53,DATA!$B$14:$AU$589,6,0)</f>
        <v>Minh Hóa</v>
      </c>
      <c r="D53" s="497" t="str">
        <f>VLOOKUP($B53,DATA!$B$14:$AU$589,36,0)</f>
        <v>Quy Hóa</v>
      </c>
      <c r="E53" s="497" t="str">
        <f>VLOOKUP($B53,DATA!$B$14:$AU$589,37,0)</f>
        <v>GT</v>
      </c>
      <c r="F53" s="497"/>
      <c r="G53" s="497" t="s">
        <v>2106</v>
      </c>
      <c r="H53" s="497">
        <f>VLOOKUP($B53,DATA!$B$14:$AU$589,7,0)</f>
        <v>2019</v>
      </c>
      <c r="I53" s="497">
        <f>VLOOKUP($B53,DATA!$B$14:$AU$589,9,0)</f>
        <v>2021</v>
      </c>
      <c r="J53" s="497" t="str">
        <f>VLOOKUP($B53,DATA!$B$14:$AU$589,12,0)</f>
        <v>3891a/QĐ-UBND ngày 31/10/2018</v>
      </c>
      <c r="K53" s="483">
        <f>VLOOKUP($B53,DATA!$B$14:$AU$589,13,0)</f>
        <v>10000</v>
      </c>
      <c r="L53" s="483">
        <f>VLOOKUP($B53,DATA!$B$14:$AU$589,15,0)</f>
        <v>6000</v>
      </c>
      <c r="M53" s="483">
        <f>VLOOKUP($B53,DATA!$B$14:$AU$589,26,0)</f>
        <v>0</v>
      </c>
      <c r="N53" s="483">
        <f>VLOOKUP($B53,DATA!$B$14:$AU$589,28,0)</f>
        <v>0</v>
      </c>
      <c r="O53" s="483">
        <f>VLOOKUP($B53,DATA!$B$14:$AU$589,29,0)</f>
        <v>3600</v>
      </c>
      <c r="P53" s="483">
        <f>VLOOKUP($B53,DATA!$B$14:$AU$589,30,0)</f>
        <v>3600</v>
      </c>
      <c r="Q53" s="483">
        <f t="shared" si="5"/>
        <v>1800</v>
      </c>
      <c r="R53" s="497">
        <v>50</v>
      </c>
      <c r="S53" s="515" t="s">
        <v>1628</v>
      </c>
      <c r="T53" s="497" t="str">
        <f>VLOOKUP($B53,DATA!$B$14:$AU$589,33,0)</f>
        <v>Bố trí KH 2019 theo QĐ CTĐT</v>
      </c>
    </row>
    <row r="54" spans="1:20" ht="35.450000000000003" customHeight="1">
      <c r="A54" s="484">
        <v>30</v>
      </c>
      <c r="B54" s="490" t="s">
        <v>1298</v>
      </c>
      <c r="C54" s="497" t="str">
        <f>VLOOKUP($B54,DATA!$B$14:$AU$589,6,0)</f>
        <v>Quảng Trạch</v>
      </c>
      <c r="D54" s="497" t="str">
        <f>VLOOKUP($B54,DATA!$B$14:$AU$589,36,0)</f>
        <v>Quảng Phương</v>
      </c>
      <c r="E54" s="497" t="str">
        <f>VLOOKUP($B54,DATA!$B$14:$AU$589,37,0)</f>
        <v>Khác</v>
      </c>
      <c r="F54" s="497"/>
      <c r="G54" s="497" t="s">
        <v>2106</v>
      </c>
      <c r="H54" s="497">
        <f>VLOOKUP($B54,DATA!$B$14:$AU$589,7,0)</f>
        <v>2019</v>
      </c>
      <c r="I54" s="497">
        <f>VLOOKUP($B54,DATA!$B$14:$AU$589,9,0)</f>
        <v>2021</v>
      </c>
      <c r="J54" s="497" t="str">
        <f>VLOOKUP($B54,DATA!$B$14:$AU$589,12,0)</f>
        <v>3857/QĐ-UBND ngày 31/10/2018</v>
      </c>
      <c r="K54" s="483">
        <f>VLOOKUP($B54,DATA!$B$14:$AU$589,13,0)</f>
        <v>9000</v>
      </c>
      <c r="L54" s="483">
        <f>VLOOKUP($B54,DATA!$B$14:$AU$589,15,0)</f>
        <v>9000</v>
      </c>
      <c r="M54" s="483">
        <f>VLOOKUP($B54,DATA!$B$14:$AU$589,26,0)</f>
        <v>0</v>
      </c>
      <c r="N54" s="483">
        <f>VLOOKUP($B54,DATA!$B$14:$AU$589,28,0)</f>
        <v>0</v>
      </c>
      <c r="O54" s="483">
        <f>VLOOKUP($B54,DATA!$B$14:$AU$589,29,0)</f>
        <v>5400</v>
      </c>
      <c r="P54" s="483">
        <f>VLOOKUP($B54,DATA!$B$14:$AU$589,30,0)</f>
        <v>5400</v>
      </c>
      <c r="Q54" s="483">
        <f t="shared" si="5"/>
        <v>2700</v>
      </c>
      <c r="R54" s="497">
        <v>50</v>
      </c>
      <c r="S54" s="515" t="s">
        <v>1628</v>
      </c>
      <c r="T54" s="497" t="str">
        <f>VLOOKUP($B54,DATA!$B$14:$AU$589,33,0)</f>
        <v>Đã có ý kiến TT. HĐND tỉnh bổ sung trung hạn</v>
      </c>
    </row>
    <row r="55" spans="1:20" ht="35.450000000000003" customHeight="1">
      <c r="A55" s="484">
        <v>31</v>
      </c>
      <c r="B55" s="491" t="s">
        <v>1459</v>
      </c>
      <c r="C55" s="497" t="str">
        <f>VLOOKUP($B55,DATA!$B$14:$AU$589,6,0)</f>
        <v>Đồng Hới</v>
      </c>
      <c r="D55" s="497" t="str">
        <f>VLOOKUP($B55,DATA!$B$14:$AU$589,36,0)</f>
        <v>Bảo Ninh</v>
      </c>
      <c r="E55" s="497" t="str">
        <f>VLOOKUP($B55,DATA!$B$14:$AU$589,37,0)</f>
        <v>Khác</v>
      </c>
      <c r="F55" s="497"/>
      <c r="G55" s="497" t="s">
        <v>2106</v>
      </c>
      <c r="H55" s="497">
        <f>VLOOKUP($B55,DATA!$B$14:$AU$589,7,0)</f>
        <v>2019</v>
      </c>
      <c r="I55" s="497">
        <f>VLOOKUP($B55,DATA!$B$14:$AU$589,9,0)</f>
        <v>2021</v>
      </c>
      <c r="J55" s="497" t="str">
        <f>VLOOKUP($B55,DATA!$B$14:$AU$589,12,0)</f>
        <v xml:space="preserve">3856a/QĐ-UBND ngày 31/10/2018 </v>
      </c>
      <c r="K55" s="483">
        <f>VLOOKUP($B55,DATA!$B$14:$AU$589,13,0)</f>
        <v>21500</v>
      </c>
      <c r="L55" s="483">
        <f>VLOOKUP($B55,DATA!$B$14:$AU$589,15,0)</f>
        <v>10000</v>
      </c>
      <c r="M55" s="483">
        <f>VLOOKUP($B55,DATA!$B$14:$AU$589,26,0)</f>
        <v>0</v>
      </c>
      <c r="N55" s="483">
        <f>VLOOKUP($B55,DATA!$B$14:$AU$589,28,0)</f>
        <v>0</v>
      </c>
      <c r="O55" s="483">
        <f>VLOOKUP($B55,DATA!$B$14:$AU$589,29,0)</f>
        <v>6000</v>
      </c>
      <c r="P55" s="483">
        <f>VLOOKUP($B55,DATA!$B$14:$AU$589,30,0)</f>
        <v>6000</v>
      </c>
      <c r="Q55" s="483">
        <f t="shared" si="5"/>
        <v>3000</v>
      </c>
      <c r="R55" s="497">
        <v>50</v>
      </c>
      <c r="S55" s="515" t="s">
        <v>1628</v>
      </c>
      <c r="T55" s="497" t="str">
        <f>VLOOKUP($B55,DATA!$B$14:$AU$589,33,0)</f>
        <v>P. VX đề xuất bố trí 3,5 tỷ</v>
      </c>
    </row>
    <row r="56" spans="1:20" ht="35.450000000000003" customHeight="1">
      <c r="A56" s="484">
        <v>32</v>
      </c>
      <c r="B56" s="492" t="s">
        <v>1398</v>
      </c>
      <c r="C56" s="497" t="str">
        <f>VLOOKUP($B56,DATA!$B$14:$AU$589,6,0)</f>
        <v>Quảng Ninh</v>
      </c>
      <c r="D56" s="497" t="str">
        <f>VLOOKUP($B56,DATA!$B$14:$AU$589,36,0)</f>
        <v>An Ninh</v>
      </c>
      <c r="E56" s="497" t="str">
        <f>VLOOKUP($B56,DATA!$B$14:$AU$589,37,0)</f>
        <v>GT</v>
      </c>
      <c r="F56" s="497"/>
      <c r="G56" s="497" t="s">
        <v>2106</v>
      </c>
      <c r="H56" s="497">
        <f>VLOOKUP($B56,DATA!$B$14:$AU$589,7,0)</f>
        <v>2019</v>
      </c>
      <c r="I56" s="497">
        <f>VLOOKUP($B56,DATA!$B$14:$AU$589,9,0)</f>
        <v>2021</v>
      </c>
      <c r="J56" s="497" t="str">
        <f>VLOOKUP($B56,DATA!$B$14:$AU$589,12,0)</f>
        <v>3734/QĐ-UBND ngày 30/10/2018</v>
      </c>
      <c r="K56" s="483">
        <f>VLOOKUP($B56,DATA!$B$14:$AU$589,13,0)</f>
        <v>12000</v>
      </c>
      <c r="L56" s="483">
        <f>VLOOKUP($B56,DATA!$B$14:$AU$589,15,0)</f>
        <v>7200</v>
      </c>
      <c r="M56" s="483">
        <f>VLOOKUP($B56,DATA!$B$14:$AU$589,26,0)</f>
        <v>0</v>
      </c>
      <c r="N56" s="483">
        <f>VLOOKUP($B56,DATA!$B$14:$AU$589,28,0)</f>
        <v>0</v>
      </c>
      <c r="O56" s="483">
        <f>VLOOKUP($B56,DATA!$B$14:$AU$589,29,0)</f>
        <v>4320</v>
      </c>
      <c r="P56" s="483">
        <f>VLOOKUP($B56,DATA!$B$14:$AU$589,30,0)</f>
        <v>4320</v>
      </c>
      <c r="Q56" s="483">
        <f t="shared" si="5"/>
        <v>2160</v>
      </c>
      <c r="R56" s="497">
        <v>50</v>
      </c>
      <c r="S56" s="515" t="s">
        <v>1628</v>
      </c>
      <c r="T56" s="497" t="str">
        <f>VLOOKUP($B56,DATA!$B$14:$AU$589,33,0)</f>
        <v>Bố trí KH 2019 theo QĐ CTĐT</v>
      </c>
    </row>
    <row r="57" spans="1:20" ht="35.450000000000003" customHeight="1">
      <c r="A57" s="484">
        <v>33</v>
      </c>
      <c r="B57" s="492" t="s">
        <v>1400</v>
      </c>
      <c r="C57" s="497" t="str">
        <f>VLOOKUP($B57,DATA!$B$14:$AU$589,6,0)</f>
        <v>Quảng Ninh</v>
      </c>
      <c r="D57" s="497" t="str">
        <f>VLOOKUP($B57,DATA!$B$14:$AU$589,36,0)</f>
        <v>Trường Xuân</v>
      </c>
      <c r="E57" s="497" t="str">
        <f>VLOOKUP($B57,DATA!$B$14:$AU$589,37,0)</f>
        <v>GT</v>
      </c>
      <c r="F57" s="497"/>
      <c r="G57" s="497" t="s">
        <v>2106</v>
      </c>
      <c r="H57" s="497">
        <f>VLOOKUP($B57,DATA!$B$14:$AU$589,7,0)</f>
        <v>2019</v>
      </c>
      <c r="I57" s="497">
        <f>VLOOKUP($B57,DATA!$B$14:$AU$589,9,0)</f>
        <v>2021</v>
      </c>
      <c r="J57" s="497" t="str">
        <f>VLOOKUP($B57,DATA!$B$14:$AU$589,12,0)</f>
        <v>3862/QĐ-UBND ngày 31/10/2018</v>
      </c>
      <c r="K57" s="483">
        <f>VLOOKUP($B57,DATA!$B$14:$AU$589,13,0)</f>
        <v>13500</v>
      </c>
      <c r="L57" s="483">
        <f>VLOOKUP($B57,DATA!$B$14:$AU$589,15,0)</f>
        <v>8100</v>
      </c>
      <c r="M57" s="483">
        <f>VLOOKUP($B57,DATA!$B$14:$AU$589,26,0)</f>
        <v>0</v>
      </c>
      <c r="N57" s="483">
        <f>VLOOKUP($B57,DATA!$B$14:$AU$589,28,0)</f>
        <v>0</v>
      </c>
      <c r="O57" s="483">
        <f>VLOOKUP($B57,DATA!$B$14:$AU$589,29,0)</f>
        <v>4860</v>
      </c>
      <c r="P57" s="483">
        <f>VLOOKUP($B57,DATA!$B$14:$AU$589,30,0)</f>
        <v>4860</v>
      </c>
      <c r="Q57" s="483">
        <f t="shared" si="5"/>
        <v>2430</v>
      </c>
      <c r="R57" s="497">
        <v>50</v>
      </c>
      <c r="S57" s="515" t="s">
        <v>1628</v>
      </c>
      <c r="T57" s="497" t="str">
        <f>VLOOKUP($B57,DATA!$B$14:$AU$589,33,0)</f>
        <v>Bố trí KH 2019 theo QĐ CTĐT</v>
      </c>
    </row>
    <row r="58" spans="1:20" ht="35.450000000000003" customHeight="1">
      <c r="A58" s="484">
        <v>34</v>
      </c>
      <c r="B58" s="489" t="s">
        <v>1456</v>
      </c>
      <c r="C58" s="497" t="str">
        <f>VLOOKUP($B58,DATA!$B$14:$AU$589,6,0)</f>
        <v>Đồng Hới</v>
      </c>
      <c r="D58" s="497" t="str">
        <f>VLOOKUP($B58,DATA!$B$14:$AU$589,36,0)</f>
        <v>Đồng Sơn</v>
      </c>
      <c r="E58" s="497" t="str">
        <f>VLOOKUP($B58,DATA!$B$14:$AU$589,37,0)</f>
        <v>Khác</v>
      </c>
      <c r="F58" s="497"/>
      <c r="G58" s="497" t="s">
        <v>2106</v>
      </c>
      <c r="H58" s="497">
        <f>VLOOKUP($B58,DATA!$B$14:$AU$589,7,0)</f>
        <v>2019</v>
      </c>
      <c r="I58" s="497">
        <f>VLOOKUP($B58,DATA!$B$14:$AU$589,9,0)</f>
        <v>2021</v>
      </c>
      <c r="J58" s="497" t="str">
        <f>VLOOKUP($B58,DATA!$B$14:$AU$589,12,0)</f>
        <v xml:space="preserve">3767/QĐ-UBND ngày 31/10/2018 </v>
      </c>
      <c r="K58" s="483">
        <f>VLOOKUP($B58,DATA!$B$14:$AU$589,13,0)</f>
        <v>14800</v>
      </c>
      <c r="L58" s="483">
        <f>VLOOKUP($B58,DATA!$B$14:$AU$589,15,0)</f>
        <v>14800</v>
      </c>
      <c r="M58" s="483">
        <f>VLOOKUP($B58,DATA!$B$14:$AU$589,26,0)</f>
        <v>0</v>
      </c>
      <c r="N58" s="483">
        <f>VLOOKUP($B58,DATA!$B$14:$AU$589,28,0)</f>
        <v>0</v>
      </c>
      <c r="O58" s="483">
        <f>VLOOKUP($B58,DATA!$B$14:$AU$589,29,0)</f>
        <v>8880</v>
      </c>
      <c r="P58" s="483">
        <f>VLOOKUP($B58,DATA!$B$14:$AU$589,30,0)</f>
        <v>8880</v>
      </c>
      <c r="Q58" s="483">
        <f t="shared" si="5"/>
        <v>4440</v>
      </c>
      <c r="R58" s="497">
        <v>50</v>
      </c>
      <c r="S58" s="515" t="s">
        <v>1628</v>
      </c>
      <c r="T58" s="497" t="str">
        <f>VLOOKUP($B58,DATA!$B$14:$AU$589,33,0)</f>
        <v>P. VX đề xuất bố trí 3 tỷ</v>
      </c>
    </row>
    <row r="59" spans="1:20" ht="35.450000000000003" customHeight="1">
      <c r="A59" s="484">
        <v>35</v>
      </c>
      <c r="B59" s="687" t="s">
        <v>1408</v>
      </c>
      <c r="C59" s="497" t="str">
        <f>VLOOKUP($B59,DATA!$B$14:$AU$589,6,0)</f>
        <v>Tuyên Hóa</v>
      </c>
      <c r="D59" s="497" t="str">
        <f>VLOOKUP($B59,DATA!$B$14:$AU$589,36,0)</f>
        <v>Cao Quảng</v>
      </c>
      <c r="E59" s="497" t="str">
        <f>VLOOKUP($B59,DATA!$B$14:$AU$589,37,0)</f>
        <v>GT</v>
      </c>
      <c r="F59" s="497"/>
      <c r="G59" s="497" t="s">
        <v>2106</v>
      </c>
      <c r="H59" s="497">
        <f>VLOOKUP($B59,DATA!$B$14:$AU$589,7,0)</f>
        <v>2019</v>
      </c>
      <c r="I59" s="497">
        <f>VLOOKUP($B59,DATA!$B$14:$AU$589,9,0)</f>
        <v>2021</v>
      </c>
      <c r="J59" s="497" t="str">
        <f>VLOOKUP($B59,DATA!$B$14:$AU$589,12,0)</f>
        <v>2377/QĐ-UBND ngày 20/7/2018</v>
      </c>
      <c r="K59" s="483">
        <f>VLOOKUP($B59,DATA!$B$14:$AU$589,13,0)</f>
        <v>15000</v>
      </c>
      <c r="L59" s="483">
        <f>VLOOKUP($B59,DATA!$B$14:$AU$589,15,0)</f>
        <v>15000</v>
      </c>
      <c r="M59" s="483">
        <f>VLOOKUP($B59,DATA!$B$14:$AU$589,26,0)</f>
        <v>0</v>
      </c>
      <c r="N59" s="483">
        <f>VLOOKUP($B59,DATA!$B$14:$AU$589,28,0)</f>
        <v>0</v>
      </c>
      <c r="O59" s="483">
        <f>VLOOKUP($B59,DATA!$B$14:$AU$589,29,0)</f>
        <v>9000</v>
      </c>
      <c r="P59" s="483">
        <f>VLOOKUP($B59,DATA!$B$14:$AU$589,30,0)</f>
        <v>9000</v>
      </c>
      <c r="Q59" s="483">
        <f t="shared" si="5"/>
        <v>4500</v>
      </c>
      <c r="R59" s="497">
        <v>50</v>
      </c>
      <c r="S59" s="515" t="s">
        <v>1628</v>
      </c>
      <c r="T59" s="497" t="str">
        <f>VLOOKUP($B59,DATA!$B$14:$AU$589,33,0)</f>
        <v>QĐ CTĐT không bố trí từng năm</v>
      </c>
    </row>
    <row r="60" spans="1:20" ht="50.45" customHeight="1">
      <c r="A60" s="484">
        <v>36</v>
      </c>
      <c r="B60" s="490" t="s">
        <v>1415</v>
      </c>
      <c r="C60" s="497" t="str">
        <f>VLOOKUP($B60,DATA!$B$14:$AU$589,6,0)</f>
        <v>Ba Đồn</v>
      </c>
      <c r="D60" s="497" t="str">
        <f>VLOOKUP($B60,DATA!$B$14:$AU$589,36,0)</f>
        <v>Quảng Sơn</v>
      </c>
      <c r="E60" s="497" t="str">
        <f>VLOOKUP($B60,DATA!$B$14:$AU$589,37,0)</f>
        <v>GT</v>
      </c>
      <c r="F60" s="497"/>
      <c r="G60" s="497" t="s">
        <v>2106</v>
      </c>
      <c r="H60" s="497">
        <f>VLOOKUP($B60,DATA!$B$14:$AU$589,7,0)</f>
        <v>2019</v>
      </c>
      <c r="I60" s="497">
        <f>VLOOKUP($B60,DATA!$B$14:$AU$589,9,0)</f>
        <v>2021</v>
      </c>
      <c r="J60" s="497" t="str">
        <f>VLOOKUP($B60,DATA!$B$14:$AU$589,12,0)</f>
        <v>3887/QĐ-UBND ngày 31/10/2018</v>
      </c>
      <c r="K60" s="483">
        <f>VLOOKUP($B60,DATA!$B$14:$AU$589,13,0)</f>
        <v>27000</v>
      </c>
      <c r="L60" s="483">
        <f>VLOOKUP($B60,DATA!$B$14:$AU$589,15,0)</f>
        <v>16200</v>
      </c>
      <c r="M60" s="483">
        <f>VLOOKUP($B60,DATA!$B$14:$AU$589,26,0)</f>
        <v>0</v>
      </c>
      <c r="N60" s="483">
        <f>VLOOKUP($B60,DATA!$B$14:$AU$589,28,0)</f>
        <v>0</v>
      </c>
      <c r="O60" s="483">
        <f>VLOOKUP($B60,DATA!$B$14:$AU$589,29,0)</f>
        <v>9720</v>
      </c>
      <c r="P60" s="483">
        <f>VLOOKUP($B60,DATA!$B$14:$AU$589,30,0)</f>
        <v>9720</v>
      </c>
      <c r="Q60" s="483">
        <f t="shared" si="5"/>
        <v>4860</v>
      </c>
      <c r="R60" s="497">
        <v>50</v>
      </c>
      <c r="S60" s="515" t="s">
        <v>1628</v>
      </c>
      <c r="T60" s="497" t="str">
        <f>VLOOKUP($B60,DATA!$B$14:$AU$589,33,0)</f>
        <v>Bố trí 2 tỷ vốn vượt thu</v>
      </c>
    </row>
  </sheetData>
  <sortState ref="A69:V106">
    <sortCondition ref="L69:L106"/>
  </sortState>
  <mergeCells count="24">
    <mergeCell ref="A4:A7"/>
    <mergeCell ref="B4:B7"/>
    <mergeCell ref="C4:C7"/>
    <mergeCell ref="H4:H7"/>
    <mergeCell ref="I4:I7"/>
    <mergeCell ref="D4:D7"/>
    <mergeCell ref="E4:E7"/>
    <mergeCell ref="F4:F7"/>
    <mergeCell ref="G4:G7"/>
    <mergeCell ref="T4:T7"/>
    <mergeCell ref="J5:J7"/>
    <mergeCell ref="K5:L5"/>
    <mergeCell ref="K6:K7"/>
    <mergeCell ref="L6:L7"/>
    <mergeCell ref="M6:M7"/>
    <mergeCell ref="S4:S7"/>
    <mergeCell ref="J4:L4"/>
    <mergeCell ref="N6:N7"/>
    <mergeCell ref="M4:N5"/>
    <mergeCell ref="Q4:Q7"/>
    <mergeCell ref="R4:R7"/>
    <mergeCell ref="O4:P5"/>
    <mergeCell ref="O6:O7"/>
    <mergeCell ref="P6:P7"/>
  </mergeCells>
  <printOptions horizontalCentered="1"/>
  <pageMargins left="0.70866141732283472" right="0.70866141732283472" top="0.74803149606299213" bottom="0.74803149606299213" header="0.31496062992125984" footer="0.31496062992125984"/>
  <pageSetup paperSize="9" scale="58" fitToHeight="0"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R509"/>
  <sheetViews>
    <sheetView topLeftCell="A2" zoomScale="70" zoomScaleNormal="70" workbookViewId="0">
      <pane xSplit="7" ySplit="5" topLeftCell="H449" activePane="bottomRight" state="frozen"/>
      <selection activeCell="A2" sqref="A2"/>
      <selection pane="topRight" activeCell="H2" sqref="H2"/>
      <selection pane="bottomLeft" activeCell="A7" sqref="A7"/>
      <selection pane="bottomRight" activeCell="P451" sqref="P451"/>
    </sheetView>
  </sheetViews>
  <sheetFormatPr defaultColWidth="9" defaultRowHeight="12.75"/>
  <cols>
    <col min="1" max="1" width="5" style="745" customWidth="1"/>
    <col min="2" max="2" width="35.625" style="745" customWidth="1"/>
    <col min="3" max="3" width="9" style="745" hidden="1" customWidth="1"/>
    <col min="4" max="4" width="9.5" style="745" hidden="1" customWidth="1"/>
    <col min="5" max="6" width="9" style="745" hidden="1" customWidth="1"/>
    <col min="7" max="8" width="9.125" style="745" bestFit="1" customWidth="1"/>
    <col min="9" max="9" width="9" style="745" hidden="1" customWidth="1"/>
    <col min="10" max="10" width="9.125" style="745" bestFit="1" customWidth="1"/>
    <col min="11" max="11" width="9" style="745" hidden="1" customWidth="1"/>
    <col min="12" max="12" width="8" style="745" hidden="1" customWidth="1"/>
    <col min="13" max="13" width="19.375" style="1508" customWidth="1"/>
    <col min="14" max="14" width="12" style="745" customWidth="1"/>
    <col min="15" max="15" width="10.25" style="745" hidden="1" customWidth="1"/>
    <col min="16" max="16" width="10.75" style="745" customWidth="1"/>
    <col min="17" max="17" width="11.25" style="745" customWidth="1"/>
    <col min="18" max="18" width="9.375" style="745" hidden="1" customWidth="1"/>
    <col min="19" max="19" width="11.125" style="745" customWidth="1"/>
    <col min="20" max="20" width="11" style="745" customWidth="1"/>
    <col min="21" max="22" width="11.375" style="745" customWidth="1"/>
    <col min="23" max="26" width="9.75" style="1509" customWidth="1"/>
    <col min="27" max="27" width="11.25" style="745" customWidth="1"/>
    <col min="28" max="28" width="9.375" style="745" hidden="1" customWidth="1"/>
    <col min="29" max="29" width="11.125" style="745" customWidth="1"/>
    <col min="30" max="30" width="11" style="745" customWidth="1"/>
    <col min="31" max="31" width="11.375" style="745" customWidth="1"/>
    <col min="32" max="33" width="9.75" style="1509" customWidth="1"/>
    <col min="34" max="34" width="33" style="745" customWidth="1"/>
    <col min="35" max="35" width="15.875" style="745" customWidth="1"/>
    <col min="36" max="36" width="10" style="745" bestFit="1" customWidth="1"/>
    <col min="37" max="37" width="17.625" style="745" customWidth="1"/>
    <col min="38" max="38" width="17" style="745" customWidth="1"/>
    <col min="39" max="39" width="12" style="745" customWidth="1"/>
    <col min="40" max="47" width="9.125" style="745" bestFit="1" customWidth="1"/>
    <col min="48" max="16384" width="9" style="745"/>
  </cols>
  <sheetData>
    <row r="1" spans="1:47">
      <c r="B1" s="745">
        <v>1</v>
      </c>
      <c r="C1" s="745">
        <v>2</v>
      </c>
      <c r="D1" s="745">
        <v>3</v>
      </c>
      <c r="E1" s="745">
        <v>4</v>
      </c>
      <c r="F1" s="745">
        <v>5</v>
      </c>
      <c r="G1" s="745">
        <v>6</v>
      </c>
      <c r="H1" s="745">
        <v>7</v>
      </c>
      <c r="I1" s="745">
        <v>8</v>
      </c>
      <c r="J1" s="745">
        <v>9</v>
      </c>
      <c r="K1" s="745">
        <v>10</v>
      </c>
      <c r="L1" s="745">
        <v>11</v>
      </c>
      <c r="M1" s="1508">
        <v>12</v>
      </c>
      <c r="N1" s="745">
        <v>13</v>
      </c>
      <c r="P1" s="745">
        <v>15</v>
      </c>
      <c r="Q1" s="745">
        <v>16</v>
      </c>
      <c r="S1" s="745">
        <v>18</v>
      </c>
      <c r="T1" s="745">
        <v>19</v>
      </c>
      <c r="U1" s="745">
        <v>20</v>
      </c>
      <c r="V1" s="745">
        <v>21</v>
      </c>
      <c r="W1" s="1509">
        <v>22</v>
      </c>
      <c r="X1" s="1509">
        <v>23</v>
      </c>
      <c r="Y1" s="1509">
        <v>24</v>
      </c>
      <c r="Z1" s="1509">
        <v>25</v>
      </c>
      <c r="AA1" s="745">
        <v>26</v>
      </c>
      <c r="AC1" s="745">
        <v>28</v>
      </c>
      <c r="AD1" s="745">
        <v>29</v>
      </c>
      <c r="AE1" s="745">
        <v>30</v>
      </c>
      <c r="AF1" s="1509">
        <v>32</v>
      </c>
      <c r="AG1" s="1509">
        <v>32</v>
      </c>
      <c r="AH1" s="745">
        <v>33</v>
      </c>
      <c r="AI1" s="745">
        <v>34</v>
      </c>
      <c r="AJ1" s="745">
        <v>35</v>
      </c>
      <c r="AK1" s="745">
        <v>36</v>
      </c>
      <c r="AL1" s="745">
        <v>37</v>
      </c>
      <c r="AM1" s="745">
        <v>38</v>
      </c>
      <c r="AN1" s="745">
        <v>39</v>
      </c>
      <c r="AO1" s="745">
        <v>40</v>
      </c>
      <c r="AP1" s="745">
        <v>41</v>
      </c>
      <c r="AQ1" s="745">
        <v>42</v>
      </c>
      <c r="AR1" s="745">
        <v>43</v>
      </c>
      <c r="AS1" s="745">
        <v>44</v>
      </c>
      <c r="AT1" s="745">
        <v>45</v>
      </c>
      <c r="AU1" s="745">
        <v>46</v>
      </c>
    </row>
    <row r="2" spans="1:47" ht="16.5" customHeight="1">
      <c r="A2" s="1743" t="s">
        <v>0</v>
      </c>
      <c r="B2" s="1743" t="s">
        <v>1</v>
      </c>
      <c r="C2" s="1743" t="s">
        <v>356</v>
      </c>
      <c r="D2" s="1743"/>
      <c r="E2" s="1743" t="s">
        <v>5</v>
      </c>
      <c r="F2" s="1743" t="s">
        <v>163</v>
      </c>
      <c r="G2" s="1746" t="s">
        <v>2</v>
      </c>
      <c r="H2" s="1747" t="s">
        <v>341</v>
      </c>
      <c r="I2" s="1747" t="s">
        <v>351</v>
      </c>
      <c r="J2" s="1748" t="s">
        <v>165</v>
      </c>
      <c r="K2" s="1748" t="s">
        <v>352</v>
      </c>
      <c r="L2" s="1749" t="s">
        <v>3</v>
      </c>
      <c r="M2" s="1750"/>
      <c r="N2" s="1750"/>
      <c r="O2" s="1750"/>
      <c r="P2" s="1751"/>
      <c r="Q2" s="1737" t="s">
        <v>521</v>
      </c>
      <c r="R2" s="1737"/>
      <c r="S2" s="1737"/>
      <c r="T2" s="1738" t="s">
        <v>611</v>
      </c>
      <c r="U2" s="1738"/>
      <c r="V2" s="1731" t="s">
        <v>1246</v>
      </c>
      <c r="W2" s="1734" t="s">
        <v>1247</v>
      </c>
      <c r="X2" s="1734" t="s">
        <v>614</v>
      </c>
      <c r="Y2" s="1734" t="s">
        <v>786</v>
      </c>
      <c r="Z2" s="1734" t="s">
        <v>787</v>
      </c>
      <c r="AA2" s="1737" t="s">
        <v>788</v>
      </c>
      <c r="AB2" s="1737"/>
      <c r="AC2" s="1737"/>
      <c r="AD2" s="1738" t="s">
        <v>611</v>
      </c>
      <c r="AE2" s="1738"/>
      <c r="AF2" s="1734" t="s">
        <v>790</v>
      </c>
      <c r="AG2" s="1734" t="s">
        <v>614</v>
      </c>
      <c r="AH2" s="1737" t="s">
        <v>4</v>
      </c>
      <c r="AK2" s="1727" t="s">
        <v>2012</v>
      </c>
      <c r="AL2" s="1727" t="s">
        <v>5</v>
      </c>
      <c r="AM2" s="1727" t="s">
        <v>2079</v>
      </c>
      <c r="AN2" s="1728" t="s">
        <v>2087</v>
      </c>
    </row>
    <row r="3" spans="1:47">
      <c r="A3" s="1743"/>
      <c r="B3" s="1743"/>
      <c r="C3" s="1744" t="s">
        <v>357</v>
      </c>
      <c r="D3" s="1746" t="s">
        <v>8</v>
      </c>
      <c r="E3" s="1743"/>
      <c r="F3" s="1743"/>
      <c r="G3" s="1744"/>
      <c r="H3" s="1747"/>
      <c r="I3" s="1747"/>
      <c r="J3" s="1748"/>
      <c r="K3" s="1748"/>
      <c r="L3" s="1743" t="s">
        <v>353</v>
      </c>
      <c r="M3" s="1743" t="s">
        <v>354</v>
      </c>
      <c r="N3" s="1737" t="s">
        <v>6</v>
      </c>
      <c r="O3" s="1737"/>
      <c r="P3" s="1737"/>
      <c r="Q3" s="1737"/>
      <c r="R3" s="1737"/>
      <c r="S3" s="1737"/>
      <c r="T3" s="1738"/>
      <c r="U3" s="1738"/>
      <c r="V3" s="1732"/>
      <c r="W3" s="1735"/>
      <c r="X3" s="1735"/>
      <c r="Y3" s="1735"/>
      <c r="Z3" s="1735"/>
      <c r="AA3" s="1737"/>
      <c r="AB3" s="1737"/>
      <c r="AC3" s="1737"/>
      <c r="AD3" s="1738"/>
      <c r="AE3" s="1738"/>
      <c r="AF3" s="1735"/>
      <c r="AG3" s="1735"/>
      <c r="AH3" s="1737"/>
      <c r="AK3" s="1727"/>
      <c r="AL3" s="1727"/>
      <c r="AM3" s="1727"/>
      <c r="AN3" s="1728"/>
    </row>
    <row r="4" spans="1:47" ht="27.75" customHeight="1">
      <c r="A4" s="1743"/>
      <c r="B4" s="1743"/>
      <c r="C4" s="1744"/>
      <c r="D4" s="1744"/>
      <c r="E4" s="1743"/>
      <c r="F4" s="1743"/>
      <c r="G4" s="1744"/>
      <c r="H4" s="1747"/>
      <c r="I4" s="1747"/>
      <c r="J4" s="1748"/>
      <c r="K4" s="1748"/>
      <c r="L4" s="1743"/>
      <c r="M4" s="1743"/>
      <c r="N4" s="1737" t="s">
        <v>7</v>
      </c>
      <c r="O4" s="1739" t="s">
        <v>615</v>
      </c>
      <c r="P4" s="1740"/>
      <c r="Q4" s="1737" t="s">
        <v>8</v>
      </c>
      <c r="R4" s="1739" t="s">
        <v>615</v>
      </c>
      <c r="S4" s="1740"/>
      <c r="T4" s="1729" t="s">
        <v>8</v>
      </c>
      <c r="U4" s="1729" t="s">
        <v>612</v>
      </c>
      <c r="V4" s="1732"/>
      <c r="W4" s="1735"/>
      <c r="X4" s="1735"/>
      <c r="Y4" s="1735"/>
      <c r="Z4" s="1735"/>
      <c r="AA4" s="1737" t="s">
        <v>8</v>
      </c>
      <c r="AB4" s="1739" t="s">
        <v>615</v>
      </c>
      <c r="AC4" s="1740"/>
      <c r="AD4" s="1729" t="s">
        <v>8</v>
      </c>
      <c r="AE4" s="1729" t="s">
        <v>789</v>
      </c>
      <c r="AF4" s="1735"/>
      <c r="AG4" s="1735"/>
      <c r="AH4" s="1737"/>
      <c r="AK4" s="1727"/>
      <c r="AL4" s="1727"/>
      <c r="AM4" s="1727"/>
      <c r="AN4" s="1728"/>
    </row>
    <row r="5" spans="1:47" ht="30" customHeight="1">
      <c r="A5" s="1743"/>
      <c r="B5" s="1743"/>
      <c r="C5" s="1745"/>
      <c r="D5" s="1745"/>
      <c r="E5" s="1743"/>
      <c r="F5" s="1743"/>
      <c r="G5" s="1745"/>
      <c r="H5" s="1747"/>
      <c r="I5" s="1747"/>
      <c r="J5" s="1748"/>
      <c r="K5" s="1748"/>
      <c r="L5" s="1743"/>
      <c r="M5" s="1743"/>
      <c r="N5" s="1737"/>
      <c r="O5" s="1741"/>
      <c r="P5" s="1742"/>
      <c r="Q5" s="1737"/>
      <c r="R5" s="1741"/>
      <c r="S5" s="1742"/>
      <c r="T5" s="1730"/>
      <c r="U5" s="1730"/>
      <c r="V5" s="1733"/>
      <c r="W5" s="1736"/>
      <c r="X5" s="1736"/>
      <c r="Y5" s="1736"/>
      <c r="Z5" s="1736"/>
      <c r="AA5" s="1737"/>
      <c r="AB5" s="1741"/>
      <c r="AC5" s="1742"/>
      <c r="AD5" s="1730"/>
      <c r="AE5" s="1730"/>
      <c r="AF5" s="1736"/>
      <c r="AG5" s="1736"/>
      <c r="AH5" s="1760"/>
      <c r="AK5" s="1727"/>
      <c r="AL5" s="1727"/>
      <c r="AM5" s="1727"/>
      <c r="AN5" s="1728"/>
    </row>
    <row r="6" spans="1:47">
      <c r="A6" s="748">
        <v>1</v>
      </c>
      <c r="B6" s="748">
        <v>2</v>
      </c>
      <c r="C6" s="749"/>
      <c r="D6" s="749"/>
      <c r="E6" s="748"/>
      <c r="F6" s="748"/>
      <c r="G6" s="748">
        <v>3</v>
      </c>
      <c r="H6" s="748">
        <v>4</v>
      </c>
      <c r="I6" s="748"/>
      <c r="J6" s="748" t="s">
        <v>458</v>
      </c>
      <c r="K6" s="748"/>
      <c r="L6" s="748"/>
      <c r="M6" s="748">
        <v>6</v>
      </c>
      <c r="N6" s="748">
        <v>7</v>
      </c>
      <c r="O6" s="748">
        <v>8</v>
      </c>
      <c r="P6" s="748">
        <v>9</v>
      </c>
      <c r="Q6" s="748">
        <v>10</v>
      </c>
      <c r="R6" s="748">
        <v>11</v>
      </c>
      <c r="S6" s="748">
        <v>12</v>
      </c>
      <c r="T6" s="748">
        <v>13</v>
      </c>
      <c r="U6" s="748">
        <v>14</v>
      </c>
      <c r="V6" s="748"/>
      <c r="W6" s="750">
        <v>15</v>
      </c>
      <c r="X6" s="750">
        <v>23</v>
      </c>
      <c r="Y6" s="748">
        <v>16</v>
      </c>
      <c r="Z6" s="750">
        <v>17</v>
      </c>
      <c r="AA6" s="748">
        <v>18</v>
      </c>
      <c r="AB6" s="750">
        <v>19</v>
      </c>
      <c r="AC6" s="748">
        <v>20</v>
      </c>
      <c r="AD6" s="750">
        <v>21</v>
      </c>
      <c r="AE6" s="748">
        <v>22</v>
      </c>
      <c r="AF6" s="750">
        <v>17</v>
      </c>
      <c r="AG6" s="750">
        <v>23</v>
      </c>
      <c r="AH6" s="748">
        <v>24</v>
      </c>
      <c r="AK6" s="746"/>
      <c r="AL6" s="746"/>
      <c r="AM6" s="746"/>
    </row>
    <row r="7" spans="1:47">
      <c r="A7" s="748"/>
      <c r="B7" s="751" t="s">
        <v>459</v>
      </c>
      <c r="C7" s="749"/>
      <c r="D7" s="749"/>
      <c r="E7" s="748"/>
      <c r="F7" s="748"/>
      <c r="G7" s="748"/>
      <c r="H7" s="748"/>
      <c r="I7" s="748"/>
      <c r="J7" s="748"/>
      <c r="K7" s="748"/>
      <c r="L7" s="748"/>
      <c r="M7" s="748"/>
      <c r="N7" s="752">
        <f t="shared" ref="N7:U7" si="0">SUBTOTAL(109,N12:N391)</f>
        <v>6630262.5222222228</v>
      </c>
      <c r="O7" s="752">
        <f t="shared" si="0"/>
        <v>810034</v>
      </c>
      <c r="P7" s="752">
        <f t="shared" si="0"/>
        <v>3172698.4222222222</v>
      </c>
      <c r="Q7" s="752">
        <f t="shared" si="0"/>
        <v>1965136</v>
      </c>
      <c r="R7" s="752">
        <f t="shared" si="0"/>
        <v>259978</v>
      </c>
      <c r="S7" s="752">
        <f t="shared" si="0"/>
        <v>939738</v>
      </c>
      <c r="T7" s="752">
        <f t="shared" si="0"/>
        <v>2000170.5</v>
      </c>
      <c r="U7" s="752">
        <f t="shared" si="0"/>
        <v>1469629.9</v>
      </c>
      <c r="V7" s="752"/>
      <c r="W7" s="753">
        <f>SUBTOTAL(109,W8:W391)</f>
        <v>737257.40000000014</v>
      </c>
      <c r="X7" s="753"/>
      <c r="Y7" s="753"/>
      <c r="Z7" s="753"/>
      <c r="AA7" s="752">
        <f>SUBTOTAL(109,AA12:AA391)</f>
        <v>2686859.6</v>
      </c>
      <c r="AB7" s="752">
        <f>SUBTOTAL(109,AB12:AB391)</f>
        <v>896413.6</v>
      </c>
      <c r="AC7" s="752">
        <f>SUBTOTAL(109,AC12:AC391)</f>
        <v>1585198.6</v>
      </c>
      <c r="AD7" s="752">
        <f>SUBTOTAL(109,AD12:AD391)</f>
        <v>2124260.9</v>
      </c>
      <c r="AE7" s="752">
        <f>SUBTOTAL(109,AE12:AE391)</f>
        <v>956004.7</v>
      </c>
      <c r="AF7" s="753"/>
      <c r="AG7" s="753"/>
      <c r="AH7" s="752" t="e">
        <f>'1NGUON'!#REF!</f>
        <v>#REF!</v>
      </c>
      <c r="AK7" s="747"/>
      <c r="AL7" s="747"/>
      <c r="AM7" s="746"/>
    </row>
    <row r="8" spans="1:47">
      <c r="A8" s="748"/>
      <c r="B8" s="751" t="s">
        <v>455</v>
      </c>
      <c r="C8" s="749"/>
      <c r="D8" s="749"/>
      <c r="E8" s="748"/>
      <c r="F8" s="748"/>
      <c r="G8" s="748"/>
      <c r="H8" s="748"/>
      <c r="I8" s="748"/>
      <c r="J8" s="748"/>
      <c r="K8" s="748"/>
      <c r="L8" s="748"/>
      <c r="M8" s="748"/>
      <c r="N8" s="752"/>
      <c r="O8" s="752"/>
      <c r="P8" s="752"/>
      <c r="Q8" s="752"/>
      <c r="R8" s="752"/>
      <c r="S8" s="752"/>
      <c r="T8" s="752"/>
      <c r="U8" s="752"/>
      <c r="V8" s="753">
        <v>5000</v>
      </c>
      <c r="W8" s="753">
        <v>5000</v>
      </c>
      <c r="X8" s="753"/>
      <c r="Y8" s="753"/>
      <c r="Z8" s="753"/>
      <c r="AA8" s="752"/>
      <c r="AB8" s="752"/>
      <c r="AC8" s="752"/>
      <c r="AD8" s="752"/>
      <c r="AE8" s="752"/>
      <c r="AF8" s="753"/>
      <c r="AG8" s="753"/>
      <c r="AH8" s="752"/>
      <c r="AI8" s="1510"/>
      <c r="AK8" s="747"/>
      <c r="AL8" s="747"/>
      <c r="AM8" s="746"/>
    </row>
    <row r="9" spans="1:47">
      <c r="A9" s="748"/>
      <c r="B9" s="751" t="s">
        <v>575</v>
      </c>
      <c r="C9" s="749"/>
      <c r="D9" s="749"/>
      <c r="E9" s="748"/>
      <c r="F9" s="748"/>
      <c r="G9" s="748"/>
      <c r="H9" s="748"/>
      <c r="I9" s="748"/>
      <c r="J9" s="748"/>
      <c r="K9" s="748"/>
      <c r="L9" s="748"/>
      <c r="M9" s="748"/>
      <c r="N9" s="752"/>
      <c r="O9" s="752"/>
      <c r="P9" s="752"/>
      <c r="Q9" s="752"/>
      <c r="R9" s="752"/>
      <c r="S9" s="752"/>
      <c r="T9" s="752"/>
      <c r="U9" s="752"/>
      <c r="V9" s="753">
        <v>1000</v>
      </c>
      <c r="W9" s="753">
        <v>1000</v>
      </c>
      <c r="X9" s="753"/>
      <c r="Y9" s="753"/>
      <c r="Z9" s="753"/>
      <c r="AA9" s="752"/>
      <c r="AB9" s="752"/>
      <c r="AC9" s="752"/>
      <c r="AD9" s="752"/>
      <c r="AE9" s="752"/>
      <c r="AF9" s="753"/>
      <c r="AG9" s="753"/>
      <c r="AH9" s="752"/>
      <c r="AK9" s="747"/>
      <c r="AL9" s="747"/>
      <c r="AM9" s="746"/>
    </row>
    <row r="10" spans="1:47">
      <c r="A10" s="748"/>
      <c r="B10" s="751" t="s">
        <v>576</v>
      </c>
      <c r="C10" s="749"/>
      <c r="D10" s="749"/>
      <c r="E10" s="748"/>
      <c r="F10" s="748"/>
      <c r="G10" s="748"/>
      <c r="H10" s="748"/>
      <c r="I10" s="748"/>
      <c r="J10" s="748"/>
      <c r="K10" s="748"/>
      <c r="L10" s="748"/>
      <c r="M10" s="748"/>
      <c r="N10" s="752"/>
      <c r="O10" s="752"/>
      <c r="P10" s="752"/>
      <c r="Q10" s="752"/>
      <c r="R10" s="752"/>
      <c r="S10" s="752"/>
      <c r="T10" s="752"/>
      <c r="U10" s="752"/>
      <c r="V10" s="753">
        <v>53750</v>
      </c>
      <c r="W10" s="753">
        <v>53750</v>
      </c>
      <c r="X10" s="753"/>
      <c r="Y10" s="753"/>
      <c r="Z10" s="753"/>
      <c r="AA10" s="752"/>
      <c r="AB10" s="752"/>
      <c r="AC10" s="752"/>
      <c r="AD10" s="752"/>
      <c r="AE10" s="752"/>
      <c r="AF10" s="753"/>
      <c r="AG10" s="753"/>
      <c r="AH10" s="752"/>
      <c r="AK10" s="747"/>
      <c r="AL10" s="747"/>
      <c r="AM10" s="746"/>
    </row>
    <row r="11" spans="1:47">
      <c r="A11" s="748"/>
      <c r="B11" s="751" t="s">
        <v>577</v>
      </c>
      <c r="C11" s="749"/>
      <c r="D11" s="749"/>
      <c r="E11" s="748"/>
      <c r="F11" s="748"/>
      <c r="G11" s="748"/>
      <c r="H11" s="748"/>
      <c r="I11" s="748"/>
      <c r="J11" s="748"/>
      <c r="K11" s="748"/>
      <c r="L11" s="748"/>
      <c r="M11" s="748"/>
      <c r="N11" s="752"/>
      <c r="O11" s="752"/>
      <c r="P11" s="752"/>
      <c r="Q11" s="752"/>
      <c r="R11" s="752"/>
      <c r="S11" s="752"/>
      <c r="T11" s="752"/>
      <c r="U11" s="752"/>
      <c r="V11" s="753">
        <v>10000</v>
      </c>
      <c r="W11" s="753">
        <v>10000</v>
      </c>
      <c r="X11" s="753"/>
      <c r="Y11" s="753"/>
      <c r="Z11" s="753"/>
      <c r="AA11" s="752"/>
      <c r="AB11" s="752"/>
      <c r="AC11" s="752"/>
      <c r="AD11" s="752"/>
      <c r="AE11" s="752"/>
      <c r="AF11" s="753"/>
      <c r="AG11" s="753"/>
      <c r="AH11" s="752"/>
      <c r="AK11" s="747"/>
      <c r="AL11" s="747"/>
      <c r="AM11" s="746"/>
    </row>
    <row r="12" spans="1:47" s="1173" customFormat="1" ht="13.5">
      <c r="A12" s="754" t="s">
        <v>471</v>
      </c>
      <c r="B12" s="755" t="s">
        <v>559</v>
      </c>
      <c r="C12" s="756"/>
      <c r="D12" s="756"/>
      <c r="E12" s="754"/>
      <c r="F12" s="754"/>
      <c r="G12" s="754"/>
      <c r="H12" s="754"/>
      <c r="I12" s="754"/>
      <c r="J12" s="754"/>
      <c r="K12" s="754"/>
      <c r="L12" s="754"/>
      <c r="M12" s="754"/>
      <c r="N12" s="757">
        <f t="shared" ref="N12:W12" si="1">SUBTOTAL(109,N13:N22)</f>
        <v>44348.222222222219</v>
      </c>
      <c r="O12" s="757">
        <f t="shared" si="1"/>
        <v>0</v>
      </c>
      <c r="P12" s="757">
        <f t="shared" si="1"/>
        <v>41048.222222222219</v>
      </c>
      <c r="Q12" s="757">
        <f t="shared" si="1"/>
        <v>2797</v>
      </c>
      <c r="R12" s="757">
        <f t="shared" si="1"/>
        <v>0</v>
      </c>
      <c r="S12" s="757">
        <f t="shared" si="1"/>
        <v>2797</v>
      </c>
      <c r="T12" s="757">
        <f t="shared" si="1"/>
        <v>36501</v>
      </c>
      <c r="U12" s="757">
        <f t="shared" si="1"/>
        <v>33836.6</v>
      </c>
      <c r="V12" s="757"/>
      <c r="W12" s="758">
        <f t="shared" si="1"/>
        <v>21557.8</v>
      </c>
      <c r="X12" s="758"/>
      <c r="Y12" s="758"/>
      <c r="Z12" s="758"/>
      <c r="AA12" s="757">
        <f t="shared" ref="AA12:AC12" si="2">SUBTOTAL(109,AA13:AA22)</f>
        <v>24354.799999999999</v>
      </c>
      <c r="AB12" s="757">
        <f t="shared" si="2"/>
        <v>21557.8</v>
      </c>
      <c r="AC12" s="757">
        <f t="shared" si="2"/>
        <v>24354.799999999999</v>
      </c>
      <c r="AD12" s="757">
        <f>SUBTOTAL(109,AD13:AD26)</f>
        <v>51407.4</v>
      </c>
      <c r="AE12" s="757">
        <f>SUBTOTAL(109,AE13:AE26)</f>
        <v>27185.200000000001</v>
      </c>
      <c r="AF12" s="757">
        <f>SUBTOTAL(109,AF13:AF26)</f>
        <v>0</v>
      </c>
      <c r="AG12" s="758"/>
      <c r="AH12" s="1511"/>
      <c r="AK12" s="1174"/>
      <c r="AL12" s="1174"/>
      <c r="AM12" s="832"/>
    </row>
    <row r="13" spans="1:47">
      <c r="A13" s="759" t="s">
        <v>471</v>
      </c>
      <c r="B13" s="760" t="s">
        <v>533</v>
      </c>
      <c r="C13" s="760"/>
      <c r="D13" s="760"/>
      <c r="E13" s="761"/>
      <c r="F13" s="762"/>
      <c r="G13" s="763"/>
      <c r="H13" s="764"/>
      <c r="I13" s="764"/>
      <c r="J13" s="764"/>
      <c r="K13" s="764"/>
      <c r="L13" s="764"/>
      <c r="M13" s="765"/>
      <c r="N13" s="766"/>
      <c r="O13" s="766"/>
      <c r="P13" s="766"/>
      <c r="Q13" s="766"/>
      <c r="R13" s="766"/>
      <c r="S13" s="766"/>
      <c r="T13" s="766"/>
      <c r="U13" s="766"/>
      <c r="V13" s="766"/>
      <c r="W13" s="767"/>
      <c r="X13" s="767"/>
      <c r="Y13" s="767"/>
      <c r="Z13" s="767"/>
      <c r="AA13" s="766"/>
      <c r="AB13" s="766"/>
      <c r="AC13" s="766"/>
      <c r="AD13" s="766"/>
      <c r="AE13" s="766"/>
      <c r="AF13" s="767"/>
      <c r="AG13" s="767"/>
      <c r="AH13" s="1512"/>
      <c r="AK13" s="747"/>
      <c r="AL13" s="747"/>
      <c r="AM13" s="746"/>
    </row>
    <row r="14" spans="1:47" ht="38.25">
      <c r="A14" s="768">
        <v>1</v>
      </c>
      <c r="B14" s="769" t="s">
        <v>11</v>
      </c>
      <c r="C14" s="769"/>
      <c r="D14" s="769"/>
      <c r="E14" s="770" t="s">
        <v>347</v>
      </c>
      <c r="F14" s="771" t="s">
        <v>387</v>
      </c>
      <c r="G14" s="772" t="s">
        <v>355</v>
      </c>
      <c r="H14" s="773">
        <v>2017</v>
      </c>
      <c r="I14" s="773" t="s">
        <v>399</v>
      </c>
      <c r="J14" s="773">
        <v>2019</v>
      </c>
      <c r="K14" s="773" t="s">
        <v>399</v>
      </c>
      <c r="L14" s="773"/>
      <c r="M14" s="774" t="s">
        <v>775</v>
      </c>
      <c r="N14" s="775">
        <v>5930</v>
      </c>
      <c r="O14" s="775">
        <v>0</v>
      </c>
      <c r="P14" s="775">
        <v>5930</v>
      </c>
      <c r="Q14" s="775">
        <v>1400</v>
      </c>
      <c r="R14" s="775">
        <v>0</v>
      </c>
      <c r="S14" s="775">
        <v>1400</v>
      </c>
      <c r="T14" s="775">
        <v>5337</v>
      </c>
      <c r="U14" s="775">
        <v>3937</v>
      </c>
      <c r="V14" s="776">
        <f>U14*X14/100</f>
        <v>3937</v>
      </c>
      <c r="W14" s="776">
        <v>3937</v>
      </c>
      <c r="X14" s="776">
        <v>100</v>
      </c>
      <c r="Y14" s="776"/>
      <c r="Z14" s="776">
        <f>V14+Y14</f>
        <v>3937</v>
      </c>
      <c r="AA14" s="775">
        <f>Q14+$Z14</f>
        <v>5337</v>
      </c>
      <c r="AB14" s="775">
        <f t="shared" ref="AB14:AC14" si="3">R14+$Z14</f>
        <v>3937</v>
      </c>
      <c r="AC14" s="775">
        <f t="shared" si="3"/>
        <v>5337</v>
      </c>
      <c r="AD14" s="775">
        <f>T14</f>
        <v>5337</v>
      </c>
      <c r="AE14" s="775">
        <f>U14-Z14</f>
        <v>0</v>
      </c>
      <c r="AF14" s="776"/>
      <c r="AG14" s="776"/>
      <c r="AH14" s="1513" t="s">
        <v>732</v>
      </c>
      <c r="AK14" s="747"/>
      <c r="AL14" s="747"/>
      <c r="AM14" s="746"/>
    </row>
    <row r="15" spans="1:47" s="1514" customFormat="1" ht="58.5" customHeight="1">
      <c r="A15" s="777">
        <v>2</v>
      </c>
      <c r="B15" s="778" t="s">
        <v>12</v>
      </c>
      <c r="C15" s="778"/>
      <c r="D15" s="778"/>
      <c r="E15" s="779" t="s">
        <v>347</v>
      </c>
      <c r="F15" s="780" t="s">
        <v>387</v>
      </c>
      <c r="G15" s="159" t="s">
        <v>9</v>
      </c>
      <c r="H15" s="358">
        <v>2017</v>
      </c>
      <c r="I15" s="358" t="s">
        <v>399</v>
      </c>
      <c r="J15" s="358">
        <v>2019</v>
      </c>
      <c r="K15" s="358" t="s">
        <v>399</v>
      </c>
      <c r="L15" s="358"/>
      <c r="M15" s="774" t="s">
        <v>776</v>
      </c>
      <c r="N15" s="781">
        <v>5527</v>
      </c>
      <c r="O15" s="781">
        <v>0</v>
      </c>
      <c r="P15" s="781">
        <v>5527</v>
      </c>
      <c r="Q15" s="781">
        <v>1207</v>
      </c>
      <c r="R15" s="781">
        <v>0</v>
      </c>
      <c r="S15" s="781">
        <v>1207</v>
      </c>
      <c r="T15" s="781">
        <v>4974</v>
      </c>
      <c r="U15" s="781">
        <v>3767</v>
      </c>
      <c r="V15" s="776">
        <f t="shared" ref="V15:V22" si="4">U15*X15/100</f>
        <v>3767</v>
      </c>
      <c r="W15" s="776">
        <v>3767</v>
      </c>
      <c r="X15" s="782">
        <v>100</v>
      </c>
      <c r="Y15" s="782"/>
      <c r="Z15" s="776">
        <f t="shared" ref="Z15:Z78" si="5">V15+Y15</f>
        <v>3767</v>
      </c>
      <c r="AA15" s="775">
        <f t="shared" ref="AA15:AA18" si="6">Q15+$Z15</f>
        <v>4974</v>
      </c>
      <c r="AB15" s="775">
        <f t="shared" ref="AB15:AB19" si="7">R15+$Z15</f>
        <v>3767</v>
      </c>
      <c r="AC15" s="775">
        <f t="shared" ref="AC15:AC19" si="8">S15+$Z15</f>
        <v>4974</v>
      </c>
      <c r="AD15" s="775">
        <f t="shared" ref="AD15:AD18" si="9">T15</f>
        <v>4974</v>
      </c>
      <c r="AE15" s="775">
        <f t="shared" ref="AE15:AE18" si="10">U15-Z15</f>
        <v>0</v>
      </c>
      <c r="AF15" s="782"/>
      <c r="AG15" s="782"/>
      <c r="AH15" s="1513" t="s">
        <v>732</v>
      </c>
      <c r="AK15" s="1515"/>
      <c r="AL15" s="1515"/>
      <c r="AM15" s="1516"/>
    </row>
    <row r="16" spans="1:47" ht="18" customHeight="1">
      <c r="A16" s="759" t="s">
        <v>477</v>
      </c>
      <c r="B16" s="783" t="s">
        <v>524</v>
      </c>
      <c r="C16" s="783"/>
      <c r="D16" s="783"/>
      <c r="E16" s="761"/>
      <c r="F16" s="762"/>
      <c r="G16" s="763"/>
      <c r="H16" s="764"/>
      <c r="I16" s="764"/>
      <c r="J16" s="764"/>
      <c r="K16" s="764"/>
      <c r="L16" s="764"/>
      <c r="M16" s="784"/>
      <c r="N16" s="775"/>
      <c r="O16" s="775"/>
      <c r="P16" s="775"/>
      <c r="Q16" s="775"/>
      <c r="R16" s="775"/>
      <c r="S16" s="775"/>
      <c r="T16" s="775"/>
      <c r="U16" s="775"/>
      <c r="V16" s="776">
        <f t="shared" si="4"/>
        <v>0</v>
      </c>
      <c r="W16" s="776"/>
      <c r="X16" s="776"/>
      <c r="Y16" s="776"/>
      <c r="Z16" s="776">
        <f t="shared" si="5"/>
        <v>0</v>
      </c>
      <c r="AA16" s="775">
        <f t="shared" si="6"/>
        <v>0</v>
      </c>
      <c r="AB16" s="775">
        <f t="shared" si="7"/>
        <v>0</v>
      </c>
      <c r="AC16" s="775">
        <f t="shared" si="8"/>
        <v>0</v>
      </c>
      <c r="AD16" s="775">
        <f t="shared" si="9"/>
        <v>0</v>
      </c>
      <c r="AE16" s="775">
        <f t="shared" si="10"/>
        <v>0</v>
      </c>
      <c r="AF16" s="776"/>
      <c r="AG16" s="776"/>
      <c r="AH16" s="1517"/>
      <c r="AK16" s="747"/>
      <c r="AL16" s="747"/>
      <c r="AM16" s="746"/>
    </row>
    <row r="17" spans="1:47" ht="38.25">
      <c r="A17" s="768">
        <v>1</v>
      </c>
      <c r="B17" s="785" t="s">
        <v>15</v>
      </c>
      <c r="C17" s="785"/>
      <c r="D17" s="785"/>
      <c r="E17" s="770" t="s">
        <v>347</v>
      </c>
      <c r="F17" s="771" t="s">
        <v>387</v>
      </c>
      <c r="G17" s="772" t="s">
        <v>355</v>
      </c>
      <c r="H17" s="773">
        <v>2018</v>
      </c>
      <c r="I17" s="773" t="s">
        <v>399</v>
      </c>
      <c r="J17" s="773">
        <v>2020</v>
      </c>
      <c r="K17" s="773" t="s">
        <v>399</v>
      </c>
      <c r="L17" s="773"/>
      <c r="M17" s="786" t="s">
        <v>828</v>
      </c>
      <c r="N17" s="775">
        <v>3150</v>
      </c>
      <c r="O17" s="775">
        <v>0</v>
      </c>
      <c r="P17" s="775">
        <v>3150</v>
      </c>
      <c r="Q17" s="775">
        <v>40</v>
      </c>
      <c r="R17" s="775">
        <v>0</v>
      </c>
      <c r="S17" s="775">
        <v>40</v>
      </c>
      <c r="T17" s="775">
        <v>2835</v>
      </c>
      <c r="U17" s="775">
        <v>2835</v>
      </c>
      <c r="V17" s="776">
        <f t="shared" si="4"/>
        <v>1417.5</v>
      </c>
      <c r="W17" s="776">
        <v>1417.5</v>
      </c>
      <c r="X17" s="776">
        <v>50</v>
      </c>
      <c r="Y17" s="776"/>
      <c r="Z17" s="776">
        <f t="shared" si="5"/>
        <v>1417.5</v>
      </c>
      <c r="AA17" s="775">
        <f t="shared" si="6"/>
        <v>1457.5</v>
      </c>
      <c r="AB17" s="775">
        <f t="shared" si="7"/>
        <v>1417.5</v>
      </c>
      <c r="AC17" s="775">
        <f t="shared" si="8"/>
        <v>1457.5</v>
      </c>
      <c r="AD17" s="775">
        <f t="shared" si="9"/>
        <v>2835</v>
      </c>
      <c r="AE17" s="775">
        <f t="shared" si="10"/>
        <v>1417.5</v>
      </c>
      <c r="AF17" s="776"/>
      <c r="AG17" s="776"/>
      <c r="AH17" s="1518"/>
      <c r="AK17" s="747"/>
      <c r="AL17" s="747"/>
      <c r="AM17" s="746"/>
    </row>
    <row r="18" spans="1:47" ht="25.5">
      <c r="A18" s="768">
        <v>2</v>
      </c>
      <c r="B18" s="769" t="s">
        <v>13</v>
      </c>
      <c r="C18" s="769"/>
      <c r="D18" s="769"/>
      <c r="E18" s="770" t="s">
        <v>347</v>
      </c>
      <c r="F18" s="771" t="s">
        <v>387</v>
      </c>
      <c r="G18" s="787" t="s">
        <v>10</v>
      </c>
      <c r="H18" s="773">
        <v>2018</v>
      </c>
      <c r="I18" s="773" t="s">
        <v>399</v>
      </c>
      <c r="J18" s="773">
        <v>2020</v>
      </c>
      <c r="K18" s="773" t="s">
        <v>399</v>
      </c>
      <c r="L18" s="773"/>
      <c r="M18" s="788" t="s">
        <v>731</v>
      </c>
      <c r="N18" s="775">
        <v>1750</v>
      </c>
      <c r="O18" s="775">
        <v>0</v>
      </c>
      <c r="P18" s="775">
        <v>1750</v>
      </c>
      <c r="Q18" s="775">
        <v>30</v>
      </c>
      <c r="R18" s="775">
        <v>0</v>
      </c>
      <c r="S18" s="775">
        <v>30</v>
      </c>
      <c r="T18" s="775">
        <v>1575</v>
      </c>
      <c r="U18" s="775">
        <v>1575</v>
      </c>
      <c r="V18" s="776">
        <f t="shared" si="4"/>
        <v>1575</v>
      </c>
      <c r="W18" s="776">
        <v>1575</v>
      </c>
      <c r="X18" s="776">
        <v>100</v>
      </c>
      <c r="Y18" s="776"/>
      <c r="Z18" s="776">
        <f t="shared" si="5"/>
        <v>1575</v>
      </c>
      <c r="AA18" s="775">
        <f t="shared" si="6"/>
        <v>1605</v>
      </c>
      <c r="AB18" s="775">
        <f t="shared" si="7"/>
        <v>1575</v>
      </c>
      <c r="AC18" s="775">
        <f t="shared" si="8"/>
        <v>1605</v>
      </c>
      <c r="AD18" s="775">
        <f t="shared" si="9"/>
        <v>1575</v>
      </c>
      <c r="AE18" s="775">
        <f t="shared" si="10"/>
        <v>0</v>
      </c>
      <c r="AF18" s="776"/>
      <c r="AG18" s="776"/>
      <c r="AH18" s="1513" t="s">
        <v>732</v>
      </c>
      <c r="AK18" s="747"/>
      <c r="AL18" s="747"/>
      <c r="AM18" s="746"/>
    </row>
    <row r="19" spans="1:47" ht="25.5">
      <c r="A19" s="768">
        <v>3</v>
      </c>
      <c r="B19" s="785" t="s">
        <v>491</v>
      </c>
      <c r="C19" s="785"/>
      <c r="D19" s="785"/>
      <c r="E19" s="770" t="s">
        <v>347</v>
      </c>
      <c r="F19" s="771" t="s">
        <v>387</v>
      </c>
      <c r="G19" s="770" t="s">
        <v>9</v>
      </c>
      <c r="H19" s="770">
        <v>2018</v>
      </c>
      <c r="I19" s="770" t="s">
        <v>399</v>
      </c>
      <c r="J19" s="770">
        <v>2020</v>
      </c>
      <c r="K19" s="770" t="s">
        <v>399</v>
      </c>
      <c r="L19" s="773"/>
      <c r="M19" s="788" t="s">
        <v>778</v>
      </c>
      <c r="N19" s="775">
        <v>2822</v>
      </c>
      <c r="O19" s="775">
        <v>0</v>
      </c>
      <c r="P19" s="775">
        <v>2822</v>
      </c>
      <c r="Q19" s="775">
        <v>0</v>
      </c>
      <c r="R19" s="775">
        <v>0</v>
      </c>
      <c r="S19" s="775">
        <v>0</v>
      </c>
      <c r="T19" s="775">
        <v>2540</v>
      </c>
      <c r="U19" s="775">
        <v>2540</v>
      </c>
      <c r="V19" s="776">
        <f t="shared" si="4"/>
        <v>1270</v>
      </c>
      <c r="W19" s="776">
        <v>1270</v>
      </c>
      <c r="X19" s="776">
        <v>50</v>
      </c>
      <c r="Y19" s="776"/>
      <c r="Z19" s="776">
        <f t="shared" si="5"/>
        <v>1270</v>
      </c>
      <c r="AA19" s="775">
        <f>Q19+$Z19</f>
        <v>1270</v>
      </c>
      <c r="AB19" s="775">
        <f t="shared" si="7"/>
        <v>1270</v>
      </c>
      <c r="AC19" s="775">
        <f t="shared" si="8"/>
        <v>1270</v>
      </c>
      <c r="AD19" s="775">
        <f>T19</f>
        <v>2540</v>
      </c>
      <c r="AE19" s="775">
        <f>U19-Z19</f>
        <v>1270</v>
      </c>
      <c r="AF19" s="776"/>
      <c r="AG19" s="776"/>
      <c r="AH19" s="1513" t="s">
        <v>732</v>
      </c>
      <c r="AI19" s="1173" t="s">
        <v>779</v>
      </c>
      <c r="AK19" s="747"/>
      <c r="AL19" s="747"/>
      <c r="AM19" s="746"/>
    </row>
    <row r="20" spans="1:47" ht="25.5">
      <c r="A20" s="768">
        <v>4</v>
      </c>
      <c r="B20" s="785" t="s">
        <v>14</v>
      </c>
      <c r="C20" s="785"/>
      <c r="D20" s="785"/>
      <c r="E20" s="770" t="s">
        <v>347</v>
      </c>
      <c r="F20" s="771" t="s">
        <v>387</v>
      </c>
      <c r="G20" s="772" t="s">
        <v>355</v>
      </c>
      <c r="H20" s="773">
        <v>2018</v>
      </c>
      <c r="I20" s="773" t="s">
        <v>399</v>
      </c>
      <c r="J20" s="773">
        <v>2020</v>
      </c>
      <c r="K20" s="773" t="s">
        <v>399</v>
      </c>
      <c r="L20" s="773"/>
      <c r="M20" s="788" t="s">
        <v>733</v>
      </c>
      <c r="N20" s="775">
        <v>9000</v>
      </c>
      <c r="O20" s="775">
        <v>0</v>
      </c>
      <c r="P20" s="775">
        <v>5700</v>
      </c>
      <c r="Q20" s="775">
        <v>60</v>
      </c>
      <c r="R20" s="775">
        <v>0</v>
      </c>
      <c r="S20" s="775">
        <v>60</v>
      </c>
      <c r="T20" s="775">
        <v>5130</v>
      </c>
      <c r="U20" s="775">
        <v>5130</v>
      </c>
      <c r="V20" s="776">
        <f t="shared" si="4"/>
        <v>2565</v>
      </c>
      <c r="W20" s="776">
        <v>2565</v>
      </c>
      <c r="X20" s="776">
        <v>50</v>
      </c>
      <c r="Y20" s="776"/>
      <c r="Z20" s="776">
        <f t="shared" si="5"/>
        <v>2565</v>
      </c>
      <c r="AA20" s="775">
        <f t="shared" ref="AA20:AA22" si="11">Q20+$Z20</f>
        <v>2625</v>
      </c>
      <c r="AB20" s="775">
        <f t="shared" ref="AB20:AB22" si="12">R20+$Z20</f>
        <v>2565</v>
      </c>
      <c r="AC20" s="775">
        <f t="shared" ref="AC20:AC22" si="13">S20+$Z20</f>
        <v>2625</v>
      </c>
      <c r="AD20" s="775">
        <f t="shared" ref="AD20:AD22" si="14">T20</f>
        <v>5130</v>
      </c>
      <c r="AE20" s="775">
        <f t="shared" ref="AE20:AE22" si="15">U20-Z20</f>
        <v>2565</v>
      </c>
      <c r="AF20" s="776"/>
      <c r="AG20" s="776"/>
      <c r="AH20" s="1513" t="s">
        <v>732</v>
      </c>
      <c r="AK20" s="747"/>
      <c r="AL20" s="747"/>
      <c r="AM20" s="746"/>
    </row>
    <row r="21" spans="1:47" ht="25.5">
      <c r="A21" s="768">
        <v>5</v>
      </c>
      <c r="B21" s="785" t="s">
        <v>777</v>
      </c>
      <c r="C21" s="785"/>
      <c r="D21" s="785"/>
      <c r="E21" s="770" t="s">
        <v>347</v>
      </c>
      <c r="F21" s="771" t="s">
        <v>387</v>
      </c>
      <c r="G21" s="772" t="s">
        <v>355</v>
      </c>
      <c r="H21" s="773">
        <v>2018</v>
      </c>
      <c r="I21" s="773" t="s">
        <v>399</v>
      </c>
      <c r="J21" s="773">
        <v>2020</v>
      </c>
      <c r="K21" s="773" t="s">
        <v>399</v>
      </c>
      <c r="L21" s="773"/>
      <c r="M21" s="788" t="s">
        <v>734</v>
      </c>
      <c r="N21" s="775">
        <v>10235.222222222223</v>
      </c>
      <c r="O21" s="775">
        <v>0</v>
      </c>
      <c r="P21" s="775">
        <v>10235.222222222223</v>
      </c>
      <c r="Q21" s="775">
        <v>60</v>
      </c>
      <c r="R21" s="775"/>
      <c r="S21" s="775">
        <v>60</v>
      </c>
      <c r="T21" s="775">
        <v>8712</v>
      </c>
      <c r="U21" s="775">
        <v>8712</v>
      </c>
      <c r="V21" s="776">
        <f t="shared" si="4"/>
        <v>4356</v>
      </c>
      <c r="W21" s="776">
        <v>4356</v>
      </c>
      <c r="X21" s="776">
        <v>50</v>
      </c>
      <c r="Y21" s="776"/>
      <c r="Z21" s="776">
        <f t="shared" si="5"/>
        <v>4356</v>
      </c>
      <c r="AA21" s="775">
        <f t="shared" si="11"/>
        <v>4416</v>
      </c>
      <c r="AB21" s="775">
        <f t="shared" si="12"/>
        <v>4356</v>
      </c>
      <c r="AC21" s="775">
        <f t="shared" si="13"/>
        <v>4416</v>
      </c>
      <c r="AD21" s="775">
        <f t="shared" si="14"/>
        <v>8712</v>
      </c>
      <c r="AE21" s="775">
        <f t="shared" si="15"/>
        <v>4356</v>
      </c>
      <c r="AF21" s="776"/>
      <c r="AG21" s="776"/>
      <c r="AH21" s="1513" t="s">
        <v>732</v>
      </c>
      <c r="AK21" s="747"/>
      <c r="AL21" s="747"/>
      <c r="AM21" s="746"/>
    </row>
    <row r="22" spans="1:47" ht="38.25">
      <c r="A22" s="423">
        <v>6</v>
      </c>
      <c r="B22" s="789" t="s">
        <v>539</v>
      </c>
      <c r="C22" s="790"/>
      <c r="D22" s="790"/>
      <c r="E22" s="790"/>
      <c r="F22" s="790"/>
      <c r="G22" s="185" t="s">
        <v>9</v>
      </c>
      <c r="H22" s="791">
        <v>2018</v>
      </c>
      <c r="I22" s="791"/>
      <c r="J22" s="792">
        <v>2020</v>
      </c>
      <c r="K22" s="792"/>
      <c r="L22" s="792"/>
      <c r="M22" s="793" t="s">
        <v>745</v>
      </c>
      <c r="N22" s="794">
        <v>5934</v>
      </c>
      <c r="O22" s="794"/>
      <c r="P22" s="795">
        <v>5934</v>
      </c>
      <c r="Q22" s="796">
        <v>0</v>
      </c>
      <c r="R22" s="796"/>
      <c r="S22" s="796">
        <v>0</v>
      </c>
      <c r="T22" s="775">
        <v>5398</v>
      </c>
      <c r="U22" s="775">
        <f>N22*0.9</f>
        <v>5340.6</v>
      </c>
      <c r="V22" s="776">
        <f t="shared" si="4"/>
        <v>2670.3</v>
      </c>
      <c r="W22" s="776">
        <v>2670.3</v>
      </c>
      <c r="X22" s="776">
        <v>50</v>
      </c>
      <c r="Y22" s="776"/>
      <c r="Z22" s="776">
        <f t="shared" si="5"/>
        <v>2670.3</v>
      </c>
      <c r="AA22" s="775">
        <f t="shared" si="11"/>
        <v>2670.3</v>
      </c>
      <c r="AB22" s="775">
        <f t="shared" si="12"/>
        <v>2670.3</v>
      </c>
      <c r="AC22" s="775">
        <f t="shared" si="13"/>
        <v>2670.3</v>
      </c>
      <c r="AD22" s="775">
        <f t="shared" si="14"/>
        <v>5398</v>
      </c>
      <c r="AE22" s="775">
        <f t="shared" si="15"/>
        <v>2670.3</v>
      </c>
      <c r="AF22" s="776"/>
      <c r="AG22" s="776"/>
      <c r="AH22" s="1513" t="s">
        <v>750</v>
      </c>
      <c r="AK22" s="747"/>
      <c r="AL22" s="747"/>
      <c r="AM22" s="746"/>
    </row>
    <row r="23" spans="1:47" ht="25.5">
      <c r="A23" s="797" t="s">
        <v>562</v>
      </c>
      <c r="B23" s="798" t="s">
        <v>801</v>
      </c>
      <c r="C23" s="798"/>
      <c r="D23" s="798"/>
      <c r="E23" s="798"/>
      <c r="F23" s="798"/>
      <c r="G23" s="715"/>
      <c r="H23" s="715"/>
      <c r="I23" s="715"/>
      <c r="J23" s="715"/>
      <c r="K23" s="715"/>
      <c r="L23" s="715"/>
      <c r="M23" s="715"/>
      <c r="N23" s="799">
        <f>SUBTOTAL(109,N24:N26)</f>
        <v>24844</v>
      </c>
      <c r="O23" s="799"/>
      <c r="P23" s="799">
        <f t="shared" ref="P23:AE23" si="16">SUBTOTAL(109,P24:P26)</f>
        <v>24844</v>
      </c>
      <c r="Q23" s="799"/>
      <c r="R23" s="799"/>
      <c r="S23" s="799"/>
      <c r="T23" s="799"/>
      <c r="U23" s="799"/>
      <c r="V23" s="799"/>
      <c r="W23" s="799"/>
      <c r="X23" s="799"/>
      <c r="Y23" s="799"/>
      <c r="Z23" s="776">
        <f t="shared" si="5"/>
        <v>0</v>
      </c>
      <c r="AA23" s="799">
        <f t="shared" si="16"/>
        <v>0</v>
      </c>
      <c r="AB23" s="799"/>
      <c r="AC23" s="799">
        <f t="shared" si="16"/>
        <v>0</v>
      </c>
      <c r="AD23" s="799">
        <f t="shared" si="16"/>
        <v>14906.4</v>
      </c>
      <c r="AE23" s="799">
        <f t="shared" si="16"/>
        <v>14906.4</v>
      </c>
      <c r="AF23" s="799"/>
      <c r="AG23" s="800"/>
      <c r="AH23" s="800"/>
      <c r="AK23" s="747"/>
      <c r="AL23" s="747"/>
      <c r="AM23" s="746"/>
      <c r="AO23" s="801"/>
      <c r="AP23" s="802"/>
      <c r="AQ23" s="716"/>
      <c r="AS23" s="802"/>
      <c r="AT23" s="802"/>
      <c r="AU23" s="803"/>
    </row>
    <row r="24" spans="1:47" ht="63.75">
      <c r="A24" s="804">
        <v>1</v>
      </c>
      <c r="B24" s="805" t="s">
        <v>791</v>
      </c>
      <c r="C24" s="805"/>
      <c r="D24" s="805"/>
      <c r="E24" s="770" t="s">
        <v>347</v>
      </c>
      <c r="F24" s="771" t="s">
        <v>387</v>
      </c>
      <c r="G24" s="159" t="s">
        <v>9</v>
      </c>
      <c r="H24" s="478">
        <v>2019</v>
      </c>
      <c r="I24" s="478"/>
      <c r="J24" s="478">
        <v>2021</v>
      </c>
      <c r="K24" s="478"/>
      <c r="L24" s="478"/>
      <c r="M24" s="185" t="s">
        <v>2133</v>
      </c>
      <c r="N24" s="806">
        <v>14850</v>
      </c>
      <c r="O24" s="806"/>
      <c r="P24" s="806">
        <v>14850</v>
      </c>
      <c r="Q24" s="806"/>
      <c r="R24" s="806"/>
      <c r="S24" s="806"/>
      <c r="T24" s="806"/>
      <c r="U24" s="806"/>
      <c r="V24" s="806"/>
      <c r="W24" s="806"/>
      <c r="X24" s="806"/>
      <c r="Y24" s="806"/>
      <c r="Z24" s="776">
        <f t="shared" si="5"/>
        <v>0</v>
      </c>
      <c r="AA24" s="806"/>
      <c r="AB24" s="806"/>
      <c r="AC24" s="806"/>
      <c r="AD24" s="807">
        <f>P24*0.6</f>
        <v>8910</v>
      </c>
      <c r="AE24" s="807">
        <f>AD24</f>
        <v>8910</v>
      </c>
      <c r="AF24" s="808"/>
      <c r="AG24" s="804"/>
      <c r="AH24" s="804"/>
      <c r="AI24" s="745" t="s">
        <v>793</v>
      </c>
      <c r="AK24" s="747"/>
      <c r="AL24" s="747"/>
      <c r="AM24" s="746"/>
      <c r="AO24" s="809" t="s">
        <v>792</v>
      </c>
      <c r="AP24" s="276" t="s">
        <v>794</v>
      </c>
      <c r="AQ24" s="810"/>
      <c r="AS24" s="802"/>
      <c r="AT24" s="802"/>
      <c r="AU24" s="803"/>
    </row>
    <row r="25" spans="1:47" ht="69.75" customHeight="1">
      <c r="A25" s="804">
        <v>2</v>
      </c>
      <c r="B25" s="811" t="s">
        <v>795</v>
      </c>
      <c r="C25" s="811"/>
      <c r="D25" s="811"/>
      <c r="E25" s="770" t="s">
        <v>347</v>
      </c>
      <c r="F25" s="771" t="s">
        <v>387</v>
      </c>
      <c r="G25" s="159" t="s">
        <v>355</v>
      </c>
      <c r="H25" s="478">
        <v>2019</v>
      </c>
      <c r="I25" s="478"/>
      <c r="J25" s="478">
        <v>2021</v>
      </c>
      <c r="K25" s="478"/>
      <c r="L25" s="478"/>
      <c r="M25" s="185" t="s">
        <v>2132</v>
      </c>
      <c r="N25" s="807">
        <v>4994</v>
      </c>
      <c r="O25" s="807"/>
      <c r="P25" s="807">
        <v>4994</v>
      </c>
      <c r="Q25" s="807"/>
      <c r="R25" s="807"/>
      <c r="S25" s="807"/>
      <c r="T25" s="807"/>
      <c r="U25" s="807"/>
      <c r="V25" s="807"/>
      <c r="W25" s="807"/>
      <c r="X25" s="807"/>
      <c r="Y25" s="807"/>
      <c r="Z25" s="776">
        <f t="shared" si="5"/>
        <v>0</v>
      </c>
      <c r="AA25" s="807"/>
      <c r="AB25" s="807"/>
      <c r="AC25" s="807"/>
      <c r="AD25" s="807">
        <f t="shared" ref="AD25:AD26" si="17">P25*0.6</f>
        <v>2996.4</v>
      </c>
      <c r="AE25" s="807">
        <f t="shared" ref="AE25:AE26" si="18">AD25</f>
        <v>2996.4</v>
      </c>
      <c r="AF25" s="808"/>
      <c r="AG25" s="804"/>
      <c r="AH25" s="804"/>
      <c r="AI25" s="745" t="s">
        <v>793</v>
      </c>
      <c r="AK25" s="747"/>
      <c r="AL25" s="747"/>
      <c r="AM25" s="746"/>
      <c r="AO25" s="276" t="s">
        <v>796</v>
      </c>
      <c r="AP25" s="276" t="s">
        <v>797</v>
      </c>
      <c r="AQ25" s="138"/>
      <c r="AS25" s="802"/>
      <c r="AT25" s="802"/>
      <c r="AU25" s="803"/>
    </row>
    <row r="26" spans="1:47" ht="51.75" customHeight="1">
      <c r="A26" s="804">
        <v>3</v>
      </c>
      <c r="B26" s="811" t="s">
        <v>798</v>
      </c>
      <c r="C26" s="811"/>
      <c r="D26" s="811"/>
      <c r="E26" s="770" t="s">
        <v>347</v>
      </c>
      <c r="F26" s="771" t="s">
        <v>387</v>
      </c>
      <c r="G26" s="159" t="s">
        <v>355</v>
      </c>
      <c r="H26" s="478">
        <v>2019</v>
      </c>
      <c r="I26" s="478"/>
      <c r="J26" s="478">
        <v>2021</v>
      </c>
      <c r="K26" s="478"/>
      <c r="L26" s="478"/>
      <c r="M26" s="185" t="s">
        <v>799</v>
      </c>
      <c r="N26" s="807">
        <v>5000</v>
      </c>
      <c r="O26" s="807"/>
      <c r="P26" s="807">
        <v>5000</v>
      </c>
      <c r="Q26" s="807"/>
      <c r="R26" s="807"/>
      <c r="S26" s="807"/>
      <c r="T26" s="807"/>
      <c r="U26" s="807"/>
      <c r="V26" s="807"/>
      <c r="W26" s="807"/>
      <c r="X26" s="807"/>
      <c r="Y26" s="807"/>
      <c r="Z26" s="776">
        <f t="shared" si="5"/>
        <v>0</v>
      </c>
      <c r="AA26" s="807"/>
      <c r="AB26" s="807"/>
      <c r="AC26" s="807"/>
      <c r="AD26" s="807">
        <f t="shared" si="17"/>
        <v>3000</v>
      </c>
      <c r="AE26" s="807">
        <f t="shared" si="18"/>
        <v>3000</v>
      </c>
      <c r="AF26" s="808"/>
      <c r="AG26" s="804"/>
      <c r="AH26" s="804"/>
      <c r="AI26" s="745" t="s">
        <v>793</v>
      </c>
      <c r="AK26" s="747"/>
      <c r="AL26" s="747"/>
      <c r="AM26" s="746"/>
      <c r="AO26" s="276" t="s">
        <v>800</v>
      </c>
      <c r="AP26" s="276" t="s">
        <v>797</v>
      </c>
      <c r="AQ26" s="138"/>
      <c r="AS26" s="802"/>
      <c r="AT26" s="802"/>
      <c r="AU26" s="803"/>
    </row>
    <row r="27" spans="1:47" s="1173" customFormat="1">
      <c r="A27" s="812" t="s">
        <v>472</v>
      </c>
      <c r="B27" s="813" t="s">
        <v>560</v>
      </c>
      <c r="C27" s="756"/>
      <c r="D27" s="756"/>
      <c r="E27" s="756"/>
      <c r="F27" s="756"/>
      <c r="G27" s="1519"/>
      <c r="H27" s="756"/>
      <c r="I27" s="756"/>
      <c r="J27" s="756"/>
      <c r="K27" s="756"/>
      <c r="L27" s="756"/>
      <c r="M27" s="756"/>
      <c r="N27" s="752">
        <f>SUBTOTAL(109,N28:N148)</f>
        <v>482646.30000000005</v>
      </c>
      <c r="O27" s="752">
        <f t="shared" ref="O27:U27" si="19">SUBTOTAL(109,O28:O148)</f>
        <v>0</v>
      </c>
      <c r="P27" s="752">
        <f t="shared" si="19"/>
        <v>453397.30000000005</v>
      </c>
      <c r="Q27" s="752">
        <f t="shared" si="19"/>
        <v>137938</v>
      </c>
      <c r="R27" s="752">
        <f t="shared" si="19"/>
        <v>805</v>
      </c>
      <c r="S27" s="752">
        <f t="shared" si="19"/>
        <v>133738</v>
      </c>
      <c r="T27" s="752">
        <f>SUBTOTAL(109,T28:T148)</f>
        <v>401487</v>
      </c>
      <c r="U27" s="752">
        <f t="shared" si="19"/>
        <v>274199</v>
      </c>
      <c r="V27" s="752">
        <f t="shared" ref="V27:Z27" si="20">SUBTOTAL(109,V28:V148)</f>
        <v>134123.79999999999</v>
      </c>
      <c r="W27" s="752">
        <f t="shared" si="20"/>
        <v>233446.59999999998</v>
      </c>
      <c r="X27" s="752"/>
      <c r="Y27" s="752">
        <f t="shared" si="20"/>
        <v>1500</v>
      </c>
      <c r="Z27" s="752">
        <f t="shared" si="20"/>
        <v>176971.59999999998</v>
      </c>
      <c r="AA27" s="752">
        <f t="shared" ref="AA27:AC27" si="21">SUBTOTAL(109,AA28:AA148)</f>
        <v>273561.8</v>
      </c>
      <c r="AB27" s="752">
        <f t="shared" si="21"/>
        <v>136428.79999999999</v>
      </c>
      <c r="AC27" s="752">
        <f t="shared" si="21"/>
        <v>269361.8</v>
      </c>
      <c r="AD27" s="752">
        <f>SUBTOTAL(109,AD28:AD214)</f>
        <v>461715</v>
      </c>
      <c r="AE27" s="752">
        <f>SUBTOTAL(109,AE28:AE214)</f>
        <v>198803.20000000001</v>
      </c>
      <c r="AF27" s="753"/>
      <c r="AG27" s="776"/>
      <c r="AH27" s="756">
        <v>126681</v>
      </c>
      <c r="AK27" s="1174"/>
      <c r="AL27" s="1174"/>
      <c r="AM27" s="832"/>
    </row>
    <row r="28" spans="1:47">
      <c r="A28" s="816" t="s">
        <v>471</v>
      </c>
      <c r="B28" s="1520" t="s">
        <v>522</v>
      </c>
      <c r="C28" s="1521"/>
      <c r="D28" s="1522"/>
      <c r="E28" s="818"/>
      <c r="F28" s="1523"/>
      <c r="G28" s="751"/>
      <c r="H28" s="820"/>
      <c r="I28" s="820"/>
      <c r="J28" s="820"/>
      <c r="K28" s="820"/>
      <c r="L28" s="820"/>
      <c r="M28" s="1524"/>
      <c r="N28" s="814">
        <f>SUBTOTAL(109,N29:N64)</f>
        <v>133346</v>
      </c>
      <c r="O28" s="814">
        <f t="shared" ref="O28:AH28" si="22">SUBTOTAL(109,O29:O64)</f>
        <v>0</v>
      </c>
      <c r="P28" s="814">
        <f t="shared" si="22"/>
        <v>129568</v>
      </c>
      <c r="Q28" s="814">
        <f t="shared" si="22"/>
        <v>86618</v>
      </c>
      <c r="R28" s="814">
        <f t="shared" si="22"/>
        <v>0</v>
      </c>
      <c r="S28" s="814">
        <f t="shared" si="22"/>
        <v>82418</v>
      </c>
      <c r="T28" s="814">
        <f>SUBTOTAL(109,T29:T64)</f>
        <v>111651</v>
      </c>
      <c r="U28" s="814">
        <f t="shared" si="22"/>
        <v>34168</v>
      </c>
      <c r="V28" s="814">
        <f t="shared" ref="V28:Z28" si="23">SUBTOTAL(109,V29:V64)</f>
        <v>34168</v>
      </c>
      <c r="W28" s="814">
        <f t="shared" si="23"/>
        <v>34168</v>
      </c>
      <c r="X28" s="814"/>
      <c r="Y28" s="814">
        <f t="shared" si="23"/>
        <v>0</v>
      </c>
      <c r="Z28" s="814">
        <f t="shared" si="23"/>
        <v>34168</v>
      </c>
      <c r="AA28" s="814">
        <f t="shared" ref="AA28:AC28" si="24">SUBTOTAL(109,AA29:AA64)</f>
        <v>120786</v>
      </c>
      <c r="AB28" s="814">
        <f t="shared" si="24"/>
        <v>34168</v>
      </c>
      <c r="AC28" s="814">
        <f t="shared" si="24"/>
        <v>116586</v>
      </c>
      <c r="AD28" s="814">
        <f>SUBTOTAL(109,AD29:AD64)</f>
        <v>111651</v>
      </c>
      <c r="AE28" s="814">
        <f t="shared" ref="AE28" si="25">SUBTOTAL(109,AE29:AE64)</f>
        <v>0</v>
      </c>
      <c r="AF28" s="815"/>
      <c r="AG28" s="776"/>
      <c r="AH28" s="752">
        <f t="shared" si="22"/>
        <v>0</v>
      </c>
      <c r="AK28" s="747"/>
      <c r="AL28" s="747"/>
      <c r="AM28" s="746"/>
    </row>
    <row r="29" spans="1:47" ht="30" customHeight="1">
      <c r="A29" s="777">
        <v>1</v>
      </c>
      <c r="B29" s="933" t="s">
        <v>166</v>
      </c>
      <c r="C29" s="933"/>
      <c r="D29" s="933"/>
      <c r="E29" s="1115" t="s">
        <v>348</v>
      </c>
      <c r="F29" s="780" t="s">
        <v>387</v>
      </c>
      <c r="G29" s="1215" t="s">
        <v>44</v>
      </c>
      <c r="H29" s="358">
        <v>2016</v>
      </c>
      <c r="I29" s="358"/>
      <c r="J29" s="358">
        <v>2018</v>
      </c>
      <c r="K29" s="358"/>
      <c r="L29" s="1525" t="s">
        <v>402</v>
      </c>
      <c r="M29" s="219" t="s">
        <v>167</v>
      </c>
      <c r="N29" s="1115">
        <v>3549</v>
      </c>
      <c r="O29" s="1115"/>
      <c r="P29" s="1115">
        <v>3549</v>
      </c>
      <c r="Q29" s="1115">
        <v>2283</v>
      </c>
      <c r="R29" s="1115"/>
      <c r="S29" s="1115">
        <v>2283</v>
      </c>
      <c r="T29" s="1115">
        <v>2994</v>
      </c>
      <c r="U29" s="1115">
        <v>911</v>
      </c>
      <c r="V29" s="776">
        <f>VLOOKUP($B29,QD!$B$9:$L$316,10,0)</f>
        <v>911</v>
      </c>
      <c r="W29" s="1116">
        <v>911</v>
      </c>
      <c r="X29" s="776">
        <v>100</v>
      </c>
      <c r="Y29" s="1116"/>
      <c r="Z29" s="776">
        <f t="shared" si="5"/>
        <v>911</v>
      </c>
      <c r="AA29" s="775">
        <f t="shared" ref="AA29" si="26">Q29+$Z29</f>
        <v>3194</v>
      </c>
      <c r="AB29" s="775">
        <f t="shared" ref="AB29" si="27">R29+$Z29</f>
        <v>911</v>
      </c>
      <c r="AC29" s="775">
        <f t="shared" ref="AC29" si="28">S29+$Z29</f>
        <v>3194</v>
      </c>
      <c r="AD29" s="775">
        <f t="shared" ref="AD29" si="29">T29</f>
        <v>2994</v>
      </c>
      <c r="AE29" s="775">
        <f t="shared" ref="AE29" si="30">U29-Z29</f>
        <v>0</v>
      </c>
      <c r="AF29" s="1116"/>
      <c r="AG29" s="776"/>
      <c r="AH29" s="1526"/>
      <c r="AK29" s="747" t="s">
        <v>2013</v>
      </c>
      <c r="AL29" s="747"/>
      <c r="AM29" s="746"/>
    </row>
    <row r="30" spans="1:47" ht="30" customHeight="1">
      <c r="A30" s="777">
        <v>2</v>
      </c>
      <c r="B30" s="933" t="s">
        <v>168</v>
      </c>
      <c r="C30" s="933"/>
      <c r="D30" s="933"/>
      <c r="E30" s="1115" t="s">
        <v>348</v>
      </c>
      <c r="F30" s="780" t="s">
        <v>387</v>
      </c>
      <c r="G30" s="1236" t="s">
        <v>33</v>
      </c>
      <c r="H30" s="358">
        <v>2016</v>
      </c>
      <c r="I30" s="358"/>
      <c r="J30" s="358">
        <v>2018</v>
      </c>
      <c r="K30" s="358"/>
      <c r="L30" s="358"/>
      <c r="M30" s="219" t="s">
        <v>169</v>
      </c>
      <c r="N30" s="1115">
        <v>3400</v>
      </c>
      <c r="O30" s="1115"/>
      <c r="P30" s="1115">
        <v>3400</v>
      </c>
      <c r="Q30" s="1115">
        <v>2320</v>
      </c>
      <c r="R30" s="1115"/>
      <c r="S30" s="1115">
        <v>2320</v>
      </c>
      <c r="T30" s="1115">
        <v>2870</v>
      </c>
      <c r="U30" s="1115">
        <v>740</v>
      </c>
      <c r="V30" s="776">
        <f>VLOOKUP($B30,QD!$B$9:$L$316,10,0)</f>
        <v>740</v>
      </c>
      <c r="W30" s="1116">
        <v>740</v>
      </c>
      <c r="X30" s="776">
        <v>100</v>
      </c>
      <c r="Y30" s="1116"/>
      <c r="Z30" s="776">
        <f t="shared" si="5"/>
        <v>740</v>
      </c>
      <c r="AA30" s="775">
        <f t="shared" ref="AA30:AA64" si="31">Q30+$Z30</f>
        <v>3060</v>
      </c>
      <c r="AB30" s="775">
        <f t="shared" ref="AB30:AB64" si="32">R30+$Z30</f>
        <v>740</v>
      </c>
      <c r="AC30" s="775">
        <f t="shared" ref="AC30:AC64" si="33">S30+$Z30</f>
        <v>3060</v>
      </c>
      <c r="AD30" s="775">
        <f t="shared" ref="AD30:AD64" si="34">T30</f>
        <v>2870</v>
      </c>
      <c r="AE30" s="775">
        <f t="shared" ref="AE30:AE64" si="35">U30-Z30</f>
        <v>0</v>
      </c>
      <c r="AF30" s="1116"/>
      <c r="AG30" s="776"/>
      <c r="AH30" s="1526"/>
      <c r="AK30" s="747" t="s">
        <v>2014</v>
      </c>
      <c r="AL30" s="747"/>
      <c r="AM30" s="746"/>
    </row>
    <row r="31" spans="1:47" ht="30" customHeight="1">
      <c r="A31" s="777">
        <v>3</v>
      </c>
      <c r="B31" s="1215" t="s">
        <v>404</v>
      </c>
      <c r="C31" s="1215"/>
      <c r="D31" s="1215"/>
      <c r="E31" s="1115" t="s">
        <v>348</v>
      </c>
      <c r="F31" s="780" t="s">
        <v>387</v>
      </c>
      <c r="G31" s="1215" t="s">
        <v>49</v>
      </c>
      <c r="H31" s="358">
        <v>2016</v>
      </c>
      <c r="I31" s="358"/>
      <c r="J31" s="358">
        <v>2018</v>
      </c>
      <c r="K31" s="358"/>
      <c r="L31" s="1525" t="s">
        <v>403</v>
      </c>
      <c r="M31" s="224" t="s">
        <v>170</v>
      </c>
      <c r="N31" s="1115">
        <v>2816</v>
      </c>
      <c r="O31" s="1115"/>
      <c r="P31" s="1115">
        <v>2816</v>
      </c>
      <c r="Q31" s="1115">
        <v>1950</v>
      </c>
      <c r="R31" s="1115"/>
      <c r="S31" s="1115">
        <v>1950</v>
      </c>
      <c r="T31" s="1115">
        <v>2384</v>
      </c>
      <c r="U31" s="1115">
        <v>584</v>
      </c>
      <c r="V31" s="776">
        <f>VLOOKUP($B31,QD!$B$9:$L$316,10,0)</f>
        <v>584</v>
      </c>
      <c r="W31" s="1116">
        <v>584</v>
      </c>
      <c r="X31" s="776">
        <v>100</v>
      </c>
      <c r="Y31" s="1116"/>
      <c r="Z31" s="776">
        <f t="shared" si="5"/>
        <v>584</v>
      </c>
      <c r="AA31" s="775">
        <f t="shared" si="31"/>
        <v>2534</v>
      </c>
      <c r="AB31" s="775">
        <f t="shared" si="32"/>
        <v>584</v>
      </c>
      <c r="AC31" s="775">
        <f t="shared" si="33"/>
        <v>2534</v>
      </c>
      <c r="AD31" s="775">
        <f t="shared" si="34"/>
        <v>2384</v>
      </c>
      <c r="AE31" s="775">
        <f t="shared" si="35"/>
        <v>0</v>
      </c>
      <c r="AF31" s="1116"/>
      <c r="AG31" s="776"/>
      <c r="AH31" s="1526"/>
      <c r="AK31" s="747" t="s">
        <v>49</v>
      </c>
      <c r="AL31" s="747"/>
      <c r="AM31" s="746"/>
    </row>
    <row r="32" spans="1:47" ht="30" customHeight="1">
      <c r="A32" s="777">
        <v>4</v>
      </c>
      <c r="B32" s="1215" t="s">
        <v>171</v>
      </c>
      <c r="C32" s="1215"/>
      <c r="D32" s="1215"/>
      <c r="E32" s="1115" t="s">
        <v>348</v>
      </c>
      <c r="F32" s="780" t="s">
        <v>387</v>
      </c>
      <c r="G32" s="1236" t="s">
        <v>33</v>
      </c>
      <c r="H32" s="358">
        <v>2016</v>
      </c>
      <c r="I32" s="358"/>
      <c r="J32" s="358">
        <v>2018</v>
      </c>
      <c r="K32" s="358"/>
      <c r="L32" s="358"/>
      <c r="M32" s="224" t="s">
        <v>172</v>
      </c>
      <c r="N32" s="1115">
        <v>3000</v>
      </c>
      <c r="O32" s="1115"/>
      <c r="P32" s="1115">
        <v>3000</v>
      </c>
      <c r="Q32" s="1115">
        <v>1982</v>
      </c>
      <c r="R32" s="1115"/>
      <c r="S32" s="1115">
        <v>1982</v>
      </c>
      <c r="T32" s="1115">
        <v>2550</v>
      </c>
      <c r="U32" s="1115">
        <v>718</v>
      </c>
      <c r="V32" s="776">
        <f>VLOOKUP($B32,QD!$B$9:$L$316,10,0)</f>
        <v>718</v>
      </c>
      <c r="W32" s="1116">
        <v>718</v>
      </c>
      <c r="X32" s="776">
        <v>100</v>
      </c>
      <c r="Y32" s="1116"/>
      <c r="Z32" s="776">
        <f t="shared" si="5"/>
        <v>718</v>
      </c>
      <c r="AA32" s="775">
        <f t="shared" si="31"/>
        <v>2700</v>
      </c>
      <c r="AB32" s="775">
        <f t="shared" si="32"/>
        <v>718</v>
      </c>
      <c r="AC32" s="775">
        <f t="shared" si="33"/>
        <v>2700</v>
      </c>
      <c r="AD32" s="775">
        <f t="shared" si="34"/>
        <v>2550</v>
      </c>
      <c r="AE32" s="775">
        <f t="shared" si="35"/>
        <v>0</v>
      </c>
      <c r="AF32" s="1116"/>
      <c r="AG32" s="776"/>
      <c r="AH32" s="1526"/>
      <c r="AK32" s="747" t="s">
        <v>2015</v>
      </c>
      <c r="AL32" s="747"/>
      <c r="AM32" s="746"/>
    </row>
    <row r="33" spans="1:39" ht="30" customHeight="1">
      <c r="A33" s="777">
        <v>5</v>
      </c>
      <c r="B33" s="1527" t="s">
        <v>173</v>
      </c>
      <c r="C33" s="1527"/>
      <c r="D33" s="1527"/>
      <c r="E33" s="1115" t="s">
        <v>348</v>
      </c>
      <c r="F33" s="780" t="s">
        <v>387</v>
      </c>
      <c r="G33" s="1215" t="s">
        <v>10</v>
      </c>
      <c r="H33" s="358">
        <v>2016</v>
      </c>
      <c r="I33" s="358"/>
      <c r="J33" s="358">
        <v>2018</v>
      </c>
      <c r="K33" s="358"/>
      <c r="L33" s="358"/>
      <c r="M33" s="219" t="s">
        <v>174</v>
      </c>
      <c r="N33" s="1115">
        <v>3000</v>
      </c>
      <c r="O33" s="1115"/>
      <c r="P33" s="1115">
        <v>3000</v>
      </c>
      <c r="Q33" s="1115">
        <v>1940</v>
      </c>
      <c r="R33" s="1115"/>
      <c r="S33" s="1115">
        <v>1940</v>
      </c>
      <c r="T33" s="1115">
        <v>2500</v>
      </c>
      <c r="U33" s="1115">
        <v>760</v>
      </c>
      <c r="V33" s="776">
        <f>VLOOKUP($B33,QD!$B$9:$L$316,10,0)</f>
        <v>760</v>
      </c>
      <c r="W33" s="1116">
        <v>760</v>
      </c>
      <c r="X33" s="776">
        <v>100</v>
      </c>
      <c r="Y33" s="1116"/>
      <c r="Z33" s="776">
        <f t="shared" si="5"/>
        <v>760</v>
      </c>
      <c r="AA33" s="775">
        <f t="shared" si="31"/>
        <v>2700</v>
      </c>
      <c r="AB33" s="775">
        <f t="shared" si="32"/>
        <v>760</v>
      </c>
      <c r="AC33" s="775">
        <f t="shared" si="33"/>
        <v>2700</v>
      </c>
      <c r="AD33" s="775">
        <f t="shared" si="34"/>
        <v>2500</v>
      </c>
      <c r="AE33" s="775">
        <f t="shared" si="35"/>
        <v>0</v>
      </c>
      <c r="AF33" s="1116"/>
      <c r="AG33" s="776"/>
      <c r="AH33" s="1526"/>
      <c r="AK33" s="747"/>
      <c r="AL33" s="747"/>
      <c r="AM33" s="746"/>
    </row>
    <row r="34" spans="1:39" ht="30" customHeight="1">
      <c r="A34" s="777">
        <v>6</v>
      </c>
      <c r="B34" s="933" t="s">
        <v>175</v>
      </c>
      <c r="C34" s="933"/>
      <c r="D34" s="933"/>
      <c r="E34" s="1115" t="s">
        <v>348</v>
      </c>
      <c r="F34" s="780" t="s">
        <v>387</v>
      </c>
      <c r="G34" s="1215" t="s">
        <v>10</v>
      </c>
      <c r="H34" s="358">
        <v>2016</v>
      </c>
      <c r="I34" s="358"/>
      <c r="J34" s="358">
        <v>2018</v>
      </c>
      <c r="K34" s="358"/>
      <c r="L34" s="358"/>
      <c r="M34" s="219" t="s">
        <v>176</v>
      </c>
      <c r="N34" s="1115">
        <v>4104</v>
      </c>
      <c r="O34" s="1115"/>
      <c r="P34" s="1115">
        <v>4104</v>
      </c>
      <c r="Q34" s="1115">
        <v>2700</v>
      </c>
      <c r="R34" s="1115"/>
      <c r="S34" s="1115">
        <v>2700</v>
      </c>
      <c r="T34" s="1115">
        <v>3534</v>
      </c>
      <c r="U34" s="1115">
        <v>984</v>
      </c>
      <c r="V34" s="776">
        <f>VLOOKUP($B34,QD!$B$9:$L$316,10,0)</f>
        <v>984</v>
      </c>
      <c r="W34" s="1116">
        <v>984</v>
      </c>
      <c r="X34" s="776">
        <v>100</v>
      </c>
      <c r="Y34" s="1116"/>
      <c r="Z34" s="776">
        <f t="shared" si="5"/>
        <v>984</v>
      </c>
      <c r="AA34" s="775">
        <f t="shared" si="31"/>
        <v>3684</v>
      </c>
      <c r="AB34" s="775">
        <f t="shared" si="32"/>
        <v>984</v>
      </c>
      <c r="AC34" s="775">
        <f t="shared" si="33"/>
        <v>3684</v>
      </c>
      <c r="AD34" s="775">
        <f t="shared" si="34"/>
        <v>3534</v>
      </c>
      <c r="AE34" s="775">
        <f t="shared" si="35"/>
        <v>0</v>
      </c>
      <c r="AF34" s="1116"/>
      <c r="AG34" s="776"/>
      <c r="AH34" s="1526"/>
      <c r="AK34" s="747"/>
      <c r="AL34" s="747"/>
      <c r="AM34" s="746"/>
    </row>
    <row r="35" spans="1:39" ht="30" customHeight="1">
      <c r="A35" s="777">
        <v>7</v>
      </c>
      <c r="B35" s="1215" t="s">
        <v>177</v>
      </c>
      <c r="C35" s="1215"/>
      <c r="D35" s="1215"/>
      <c r="E35" s="1115" t="s">
        <v>348</v>
      </c>
      <c r="F35" s="780" t="s">
        <v>387</v>
      </c>
      <c r="G35" s="1236" t="s">
        <v>9</v>
      </c>
      <c r="H35" s="358">
        <v>2016</v>
      </c>
      <c r="I35" s="358"/>
      <c r="J35" s="358">
        <v>2018</v>
      </c>
      <c r="K35" s="358"/>
      <c r="L35" s="358"/>
      <c r="M35" s="224" t="s">
        <v>178</v>
      </c>
      <c r="N35" s="1115">
        <v>8178</v>
      </c>
      <c r="O35" s="1115"/>
      <c r="P35" s="1115">
        <v>8000</v>
      </c>
      <c r="Q35" s="1115">
        <v>5100</v>
      </c>
      <c r="R35" s="1115"/>
      <c r="S35" s="1115">
        <v>5100</v>
      </c>
      <c r="T35" s="1115">
        <v>6900</v>
      </c>
      <c r="U35" s="1115">
        <v>2100</v>
      </c>
      <c r="V35" s="776">
        <f>VLOOKUP($B35,QD!$B$9:$L$316,10,0)</f>
        <v>2100</v>
      </c>
      <c r="W35" s="1116">
        <v>2100</v>
      </c>
      <c r="X35" s="776">
        <v>100</v>
      </c>
      <c r="Y35" s="1116"/>
      <c r="Z35" s="776">
        <f t="shared" si="5"/>
        <v>2100</v>
      </c>
      <c r="AA35" s="775">
        <f t="shared" si="31"/>
        <v>7200</v>
      </c>
      <c r="AB35" s="775">
        <f t="shared" si="32"/>
        <v>2100</v>
      </c>
      <c r="AC35" s="775">
        <f t="shared" si="33"/>
        <v>7200</v>
      </c>
      <c r="AD35" s="775">
        <f t="shared" si="34"/>
        <v>6900</v>
      </c>
      <c r="AE35" s="775">
        <f t="shared" si="35"/>
        <v>0</v>
      </c>
      <c r="AF35" s="1116"/>
      <c r="AG35" s="776"/>
      <c r="AH35" s="1526"/>
      <c r="AK35" s="747"/>
      <c r="AL35" s="747"/>
      <c r="AM35" s="746"/>
    </row>
    <row r="36" spans="1:39" ht="30" customHeight="1">
      <c r="A36" s="777">
        <v>8</v>
      </c>
      <c r="B36" s="933" t="s">
        <v>179</v>
      </c>
      <c r="C36" s="933"/>
      <c r="D36" s="933"/>
      <c r="E36" s="1115" t="s">
        <v>348</v>
      </c>
      <c r="F36" s="780" t="s">
        <v>387</v>
      </c>
      <c r="G36" s="778" t="s">
        <v>46</v>
      </c>
      <c r="H36" s="358">
        <v>2016</v>
      </c>
      <c r="I36" s="358"/>
      <c r="J36" s="358">
        <v>2018</v>
      </c>
      <c r="K36" s="358"/>
      <c r="L36" s="1525" t="s">
        <v>405</v>
      </c>
      <c r="M36" s="219" t="s">
        <v>180</v>
      </c>
      <c r="N36" s="1115">
        <v>2500</v>
      </c>
      <c r="O36" s="1115"/>
      <c r="P36" s="1115">
        <v>2500</v>
      </c>
      <c r="Q36" s="1115">
        <v>1605</v>
      </c>
      <c r="R36" s="1115"/>
      <c r="S36" s="1115">
        <v>1605</v>
      </c>
      <c r="T36" s="1115">
        <v>2110</v>
      </c>
      <c r="U36" s="1115">
        <v>645</v>
      </c>
      <c r="V36" s="776">
        <f>VLOOKUP($B36,QD!$B$9:$L$316,10,0)</f>
        <v>645</v>
      </c>
      <c r="W36" s="1116">
        <v>645</v>
      </c>
      <c r="X36" s="776">
        <v>100</v>
      </c>
      <c r="Y36" s="1116"/>
      <c r="Z36" s="776">
        <f t="shared" si="5"/>
        <v>645</v>
      </c>
      <c r="AA36" s="775">
        <f t="shared" si="31"/>
        <v>2250</v>
      </c>
      <c r="AB36" s="775">
        <f t="shared" si="32"/>
        <v>645</v>
      </c>
      <c r="AC36" s="775">
        <f t="shared" si="33"/>
        <v>2250</v>
      </c>
      <c r="AD36" s="775">
        <f t="shared" si="34"/>
        <v>2110</v>
      </c>
      <c r="AE36" s="775">
        <f t="shared" si="35"/>
        <v>0</v>
      </c>
      <c r="AF36" s="1116"/>
      <c r="AG36" s="776"/>
      <c r="AH36" s="1526"/>
      <c r="AK36" s="747"/>
      <c r="AL36" s="747"/>
      <c r="AM36" s="746"/>
    </row>
    <row r="37" spans="1:39" ht="30" customHeight="1">
      <c r="A37" s="777">
        <v>9</v>
      </c>
      <c r="B37" s="933" t="s">
        <v>181</v>
      </c>
      <c r="C37" s="933"/>
      <c r="D37" s="933"/>
      <c r="E37" s="1115" t="s">
        <v>348</v>
      </c>
      <c r="F37" s="780" t="s">
        <v>387</v>
      </c>
      <c r="G37" s="1215" t="s">
        <v>10</v>
      </c>
      <c r="H37" s="358">
        <v>2016</v>
      </c>
      <c r="I37" s="358"/>
      <c r="J37" s="358">
        <v>2018</v>
      </c>
      <c r="K37" s="358"/>
      <c r="L37" s="358"/>
      <c r="M37" s="219" t="s">
        <v>182</v>
      </c>
      <c r="N37" s="1115">
        <v>3500</v>
      </c>
      <c r="O37" s="1115"/>
      <c r="P37" s="1115">
        <v>3500</v>
      </c>
      <c r="Q37" s="1115">
        <v>2545</v>
      </c>
      <c r="R37" s="1115"/>
      <c r="S37" s="1115">
        <v>2545</v>
      </c>
      <c r="T37" s="1115">
        <v>3000</v>
      </c>
      <c r="U37" s="1115">
        <v>605</v>
      </c>
      <c r="V37" s="776">
        <f>VLOOKUP($B37,QD!$B$9:$L$316,10,0)</f>
        <v>605</v>
      </c>
      <c r="W37" s="1116">
        <v>605</v>
      </c>
      <c r="X37" s="776">
        <v>100</v>
      </c>
      <c r="Y37" s="1116"/>
      <c r="Z37" s="776">
        <f t="shared" si="5"/>
        <v>605</v>
      </c>
      <c r="AA37" s="775">
        <f t="shared" si="31"/>
        <v>3150</v>
      </c>
      <c r="AB37" s="775">
        <f t="shared" si="32"/>
        <v>605</v>
      </c>
      <c r="AC37" s="775">
        <f t="shared" si="33"/>
        <v>3150</v>
      </c>
      <c r="AD37" s="775">
        <f t="shared" si="34"/>
        <v>3000</v>
      </c>
      <c r="AE37" s="775">
        <f t="shared" si="35"/>
        <v>0</v>
      </c>
      <c r="AF37" s="1116"/>
      <c r="AG37" s="776"/>
      <c r="AH37" s="1526"/>
      <c r="AK37" s="747"/>
      <c r="AL37" s="747"/>
      <c r="AM37" s="746"/>
    </row>
    <row r="38" spans="1:39" ht="30" customHeight="1">
      <c r="A38" s="777">
        <v>10</v>
      </c>
      <c r="B38" s="1215" t="s">
        <v>183</v>
      </c>
      <c r="C38" s="1215"/>
      <c r="D38" s="1215"/>
      <c r="E38" s="1115" t="s">
        <v>348</v>
      </c>
      <c r="F38" s="780" t="s">
        <v>387</v>
      </c>
      <c r="G38" s="778" t="s">
        <v>26</v>
      </c>
      <c r="H38" s="358">
        <v>2016</v>
      </c>
      <c r="I38" s="358"/>
      <c r="J38" s="358">
        <v>2018</v>
      </c>
      <c r="K38" s="358"/>
      <c r="L38" s="1525" t="s">
        <v>406</v>
      </c>
      <c r="M38" s="224" t="s">
        <v>174</v>
      </c>
      <c r="N38" s="1115">
        <v>4000</v>
      </c>
      <c r="O38" s="1115"/>
      <c r="P38" s="1115">
        <v>4000</v>
      </c>
      <c r="Q38" s="1115">
        <v>2600</v>
      </c>
      <c r="R38" s="1115"/>
      <c r="S38" s="1115">
        <v>2600</v>
      </c>
      <c r="T38" s="1115">
        <v>3400</v>
      </c>
      <c r="U38" s="1115">
        <v>1000</v>
      </c>
      <c r="V38" s="776">
        <f>VLOOKUP($B38,QD!$B$9:$L$316,10,0)</f>
        <v>1000</v>
      </c>
      <c r="W38" s="1116">
        <v>1000</v>
      </c>
      <c r="X38" s="776">
        <v>100</v>
      </c>
      <c r="Y38" s="1116"/>
      <c r="Z38" s="776">
        <f t="shared" si="5"/>
        <v>1000</v>
      </c>
      <c r="AA38" s="775">
        <f t="shared" si="31"/>
        <v>3600</v>
      </c>
      <c r="AB38" s="775">
        <f t="shared" si="32"/>
        <v>1000</v>
      </c>
      <c r="AC38" s="775">
        <f t="shared" si="33"/>
        <v>3600</v>
      </c>
      <c r="AD38" s="775">
        <f t="shared" si="34"/>
        <v>3400</v>
      </c>
      <c r="AE38" s="775">
        <f t="shared" si="35"/>
        <v>0</v>
      </c>
      <c r="AF38" s="1116"/>
      <c r="AG38" s="776"/>
      <c r="AH38" s="1526"/>
      <c r="AK38" s="747"/>
      <c r="AL38" s="747"/>
      <c r="AM38" s="746"/>
    </row>
    <row r="39" spans="1:39" ht="30" customHeight="1">
      <c r="A39" s="777">
        <v>11</v>
      </c>
      <c r="B39" s="1215" t="s">
        <v>1042</v>
      </c>
      <c r="C39" s="1215"/>
      <c r="D39" s="1215"/>
      <c r="E39" s="1115" t="s">
        <v>348</v>
      </c>
      <c r="F39" s="780" t="s">
        <v>387</v>
      </c>
      <c r="G39" s="778" t="s">
        <v>49</v>
      </c>
      <c r="H39" s="358">
        <v>2016</v>
      </c>
      <c r="I39" s="358"/>
      <c r="J39" s="358">
        <v>2018</v>
      </c>
      <c r="K39" s="358"/>
      <c r="L39" s="358"/>
      <c r="M39" s="224" t="s">
        <v>184</v>
      </c>
      <c r="N39" s="1115">
        <v>2815</v>
      </c>
      <c r="O39" s="1115"/>
      <c r="P39" s="1115">
        <v>2815</v>
      </c>
      <c r="Q39" s="1115">
        <v>1745</v>
      </c>
      <c r="R39" s="1115"/>
      <c r="S39" s="1115">
        <v>1745</v>
      </c>
      <c r="T39" s="1115">
        <v>2534</v>
      </c>
      <c r="U39" s="1115">
        <v>789</v>
      </c>
      <c r="V39" s="776">
        <f>VLOOKUP($B39,QD!$B$9:$L$316,10,0)</f>
        <v>789</v>
      </c>
      <c r="W39" s="1116">
        <v>789</v>
      </c>
      <c r="X39" s="776">
        <v>100</v>
      </c>
      <c r="Y39" s="1116"/>
      <c r="Z39" s="776">
        <f t="shared" si="5"/>
        <v>789</v>
      </c>
      <c r="AA39" s="775">
        <f t="shared" si="31"/>
        <v>2534</v>
      </c>
      <c r="AB39" s="775">
        <f t="shared" si="32"/>
        <v>789</v>
      </c>
      <c r="AC39" s="775">
        <f t="shared" si="33"/>
        <v>2534</v>
      </c>
      <c r="AD39" s="775">
        <f t="shared" si="34"/>
        <v>2534</v>
      </c>
      <c r="AE39" s="775">
        <f t="shared" si="35"/>
        <v>0</v>
      </c>
      <c r="AF39" s="1116"/>
      <c r="AG39" s="776"/>
      <c r="AH39" s="1526"/>
      <c r="AK39" s="747"/>
      <c r="AL39" s="747"/>
      <c r="AM39" s="746"/>
    </row>
    <row r="40" spans="1:39" ht="30" customHeight="1">
      <c r="A40" s="777">
        <v>12</v>
      </c>
      <c r="B40" s="933" t="s">
        <v>185</v>
      </c>
      <c r="C40" s="933"/>
      <c r="D40" s="933"/>
      <c r="E40" s="1115" t="s">
        <v>348</v>
      </c>
      <c r="F40" s="780" t="s">
        <v>387</v>
      </c>
      <c r="G40" s="1236" t="s">
        <v>9</v>
      </c>
      <c r="H40" s="358">
        <v>2016</v>
      </c>
      <c r="I40" s="358"/>
      <c r="J40" s="358">
        <v>2018</v>
      </c>
      <c r="K40" s="358"/>
      <c r="L40" s="358"/>
      <c r="M40" s="219" t="s">
        <v>186</v>
      </c>
      <c r="N40" s="1115">
        <v>4200</v>
      </c>
      <c r="O40" s="1115"/>
      <c r="P40" s="1115">
        <v>4200</v>
      </c>
      <c r="Q40" s="1115">
        <v>2603</v>
      </c>
      <c r="R40" s="1115"/>
      <c r="S40" s="1115">
        <v>2603</v>
      </c>
      <c r="T40" s="1115">
        <v>3630</v>
      </c>
      <c r="U40" s="1115">
        <v>1177</v>
      </c>
      <c r="V40" s="776">
        <f>VLOOKUP($B40,QD!$B$9:$L$316,10,0)</f>
        <v>1177</v>
      </c>
      <c r="W40" s="1116">
        <v>1177</v>
      </c>
      <c r="X40" s="776">
        <v>100</v>
      </c>
      <c r="Y40" s="1116"/>
      <c r="Z40" s="776">
        <f t="shared" si="5"/>
        <v>1177</v>
      </c>
      <c r="AA40" s="775">
        <f t="shared" si="31"/>
        <v>3780</v>
      </c>
      <c r="AB40" s="775">
        <f t="shared" si="32"/>
        <v>1177</v>
      </c>
      <c r="AC40" s="775">
        <f t="shared" si="33"/>
        <v>3780</v>
      </c>
      <c r="AD40" s="775">
        <f t="shared" si="34"/>
        <v>3630</v>
      </c>
      <c r="AE40" s="775">
        <f t="shared" si="35"/>
        <v>0</v>
      </c>
      <c r="AF40" s="1116"/>
      <c r="AG40" s="776"/>
      <c r="AH40" s="1526"/>
      <c r="AK40" s="747"/>
      <c r="AL40" s="747"/>
      <c r="AM40" s="746"/>
    </row>
    <row r="41" spans="1:39" ht="30" customHeight="1">
      <c r="A41" s="777">
        <v>13</v>
      </c>
      <c r="B41" s="1215" t="s">
        <v>187</v>
      </c>
      <c r="C41" s="1215"/>
      <c r="D41" s="1215"/>
      <c r="E41" s="1115" t="s">
        <v>348</v>
      </c>
      <c r="F41" s="780" t="s">
        <v>387</v>
      </c>
      <c r="G41" s="1236" t="s">
        <v>33</v>
      </c>
      <c r="H41" s="358">
        <v>2016</v>
      </c>
      <c r="I41" s="358"/>
      <c r="J41" s="358">
        <v>2018</v>
      </c>
      <c r="K41" s="358"/>
      <c r="L41" s="358"/>
      <c r="M41" s="224" t="s">
        <v>188</v>
      </c>
      <c r="N41" s="1115">
        <v>4000</v>
      </c>
      <c r="O41" s="1115"/>
      <c r="P41" s="1115">
        <v>4000</v>
      </c>
      <c r="Q41" s="1115">
        <v>2550</v>
      </c>
      <c r="R41" s="1115"/>
      <c r="S41" s="1115">
        <v>2550</v>
      </c>
      <c r="T41" s="1115">
        <v>3450</v>
      </c>
      <c r="U41" s="1115">
        <v>1050</v>
      </c>
      <c r="V41" s="776">
        <f>VLOOKUP($B41,QD!$B$9:$L$316,10,0)</f>
        <v>1050</v>
      </c>
      <c r="W41" s="1116">
        <v>1050</v>
      </c>
      <c r="X41" s="776">
        <v>100</v>
      </c>
      <c r="Y41" s="1116"/>
      <c r="Z41" s="776">
        <f t="shared" si="5"/>
        <v>1050</v>
      </c>
      <c r="AA41" s="775">
        <f t="shared" si="31"/>
        <v>3600</v>
      </c>
      <c r="AB41" s="775">
        <f t="shared" si="32"/>
        <v>1050</v>
      </c>
      <c r="AC41" s="775">
        <f t="shared" si="33"/>
        <v>3600</v>
      </c>
      <c r="AD41" s="775">
        <f t="shared" si="34"/>
        <v>3450</v>
      </c>
      <c r="AE41" s="775">
        <f t="shared" si="35"/>
        <v>0</v>
      </c>
      <c r="AF41" s="1116"/>
      <c r="AG41" s="776"/>
      <c r="AH41" s="1526"/>
      <c r="AI41" s="1528">
        <f>T41/P41</f>
        <v>0.86250000000000004</v>
      </c>
      <c r="AK41" s="747"/>
      <c r="AL41" s="747"/>
      <c r="AM41" s="746"/>
    </row>
    <row r="42" spans="1:39" s="1322" customFormat="1" ht="30" customHeight="1">
      <c r="A42" s="777">
        <v>14</v>
      </c>
      <c r="B42" s="933" t="s">
        <v>189</v>
      </c>
      <c r="C42" s="933"/>
      <c r="D42" s="933"/>
      <c r="E42" s="1115" t="s">
        <v>348</v>
      </c>
      <c r="F42" s="780" t="s">
        <v>387</v>
      </c>
      <c r="G42" s="1527" t="s">
        <v>44</v>
      </c>
      <c r="H42" s="358">
        <v>2016</v>
      </c>
      <c r="I42" s="358"/>
      <c r="J42" s="358">
        <v>2018</v>
      </c>
      <c r="K42" s="358"/>
      <c r="L42" s="1525" t="s">
        <v>407</v>
      </c>
      <c r="M42" s="219" t="s">
        <v>190</v>
      </c>
      <c r="N42" s="1115">
        <v>4978</v>
      </c>
      <c r="O42" s="1115"/>
      <c r="P42" s="1115">
        <v>4978</v>
      </c>
      <c r="Q42" s="1115">
        <f>3350+600</f>
        <v>3950</v>
      </c>
      <c r="R42" s="1115"/>
      <c r="S42" s="1115">
        <v>3350</v>
      </c>
      <c r="T42" s="1115">
        <v>4280</v>
      </c>
      <c r="U42" s="1115">
        <v>1029</v>
      </c>
      <c r="V42" s="776">
        <f>VLOOKUP($B42,QD!$B$9:$L$316,10,0)</f>
        <v>1029</v>
      </c>
      <c r="W42" s="1116">
        <v>1029</v>
      </c>
      <c r="X42" s="776">
        <v>100</v>
      </c>
      <c r="Y42" s="1116"/>
      <c r="Z42" s="776">
        <f t="shared" si="5"/>
        <v>1029</v>
      </c>
      <c r="AA42" s="775">
        <f t="shared" si="31"/>
        <v>4979</v>
      </c>
      <c r="AB42" s="775">
        <f t="shared" si="32"/>
        <v>1029</v>
      </c>
      <c r="AC42" s="775">
        <f t="shared" si="33"/>
        <v>4379</v>
      </c>
      <c r="AD42" s="775">
        <f t="shared" si="34"/>
        <v>4280</v>
      </c>
      <c r="AE42" s="775">
        <f t="shared" si="35"/>
        <v>0</v>
      </c>
      <c r="AF42" s="1116"/>
      <c r="AG42" s="782"/>
      <c r="AH42" s="1115" t="s">
        <v>642</v>
      </c>
      <c r="AI42" s="1529">
        <f>T42/P42</f>
        <v>0.85978304539975892</v>
      </c>
      <c r="AK42" s="1326"/>
      <c r="AL42" s="1326"/>
      <c r="AM42" s="1327"/>
    </row>
    <row r="43" spans="1:39" s="1322" customFormat="1" ht="30" customHeight="1">
      <c r="A43" s="777">
        <v>15</v>
      </c>
      <c r="B43" s="1215" t="s">
        <v>191</v>
      </c>
      <c r="C43" s="1215"/>
      <c r="D43" s="1215"/>
      <c r="E43" s="1115" t="s">
        <v>348</v>
      </c>
      <c r="F43" s="780" t="s">
        <v>387</v>
      </c>
      <c r="G43" s="1215" t="s">
        <v>49</v>
      </c>
      <c r="H43" s="358">
        <v>2016</v>
      </c>
      <c r="I43" s="358"/>
      <c r="J43" s="358">
        <v>2018</v>
      </c>
      <c r="K43" s="358"/>
      <c r="L43" s="1525" t="s">
        <v>408</v>
      </c>
      <c r="M43" s="224" t="s">
        <v>192</v>
      </c>
      <c r="N43" s="1115">
        <v>4500</v>
      </c>
      <c r="O43" s="1115"/>
      <c r="P43" s="1115">
        <v>4500</v>
      </c>
      <c r="Q43" s="1115">
        <v>3125</v>
      </c>
      <c r="R43" s="1115"/>
      <c r="S43" s="1115">
        <v>3125</v>
      </c>
      <c r="T43" s="1115">
        <v>3900</v>
      </c>
      <c r="U43" s="1115">
        <v>771</v>
      </c>
      <c r="V43" s="776">
        <f>VLOOKUP($B43,QD!$B$9:$L$316,10,0)</f>
        <v>771</v>
      </c>
      <c r="W43" s="1116">
        <v>771</v>
      </c>
      <c r="X43" s="776">
        <v>100</v>
      </c>
      <c r="Y43" s="1116"/>
      <c r="Z43" s="776">
        <f t="shared" si="5"/>
        <v>771</v>
      </c>
      <c r="AA43" s="775">
        <f t="shared" si="31"/>
        <v>3896</v>
      </c>
      <c r="AB43" s="775">
        <f t="shared" si="32"/>
        <v>771</v>
      </c>
      <c r="AC43" s="775">
        <f t="shared" si="33"/>
        <v>3896</v>
      </c>
      <c r="AD43" s="775">
        <f t="shared" si="34"/>
        <v>3900</v>
      </c>
      <c r="AE43" s="775">
        <f t="shared" si="35"/>
        <v>0</v>
      </c>
      <c r="AF43" s="1116"/>
      <c r="AG43" s="782"/>
      <c r="AH43" s="1526"/>
      <c r="AK43" s="1326"/>
      <c r="AL43" s="1326"/>
      <c r="AM43" s="1327"/>
    </row>
    <row r="44" spans="1:39" ht="30" customHeight="1">
      <c r="A44" s="777">
        <v>16</v>
      </c>
      <c r="B44" s="1215" t="s">
        <v>837</v>
      </c>
      <c r="C44" s="1215"/>
      <c r="D44" s="1215"/>
      <c r="E44" s="1115" t="s">
        <v>348</v>
      </c>
      <c r="F44" s="780" t="s">
        <v>387</v>
      </c>
      <c r="G44" s="1236" t="s">
        <v>33</v>
      </c>
      <c r="H44" s="358">
        <v>2016</v>
      </c>
      <c r="I44" s="358"/>
      <c r="J44" s="358">
        <v>2018</v>
      </c>
      <c r="K44" s="358"/>
      <c r="L44" s="1525" t="s">
        <v>409</v>
      </c>
      <c r="M44" s="224" t="s">
        <v>193</v>
      </c>
      <c r="N44" s="1115">
        <v>3000</v>
      </c>
      <c r="O44" s="1115"/>
      <c r="P44" s="1115">
        <v>3000</v>
      </c>
      <c r="Q44" s="1115">
        <v>1980</v>
      </c>
      <c r="R44" s="1115"/>
      <c r="S44" s="1115">
        <v>1980</v>
      </c>
      <c r="T44" s="1115">
        <v>2550</v>
      </c>
      <c r="U44" s="1115">
        <v>720</v>
      </c>
      <c r="V44" s="776">
        <f>VLOOKUP($B44,QD!$B$9:$L$316,10,0)</f>
        <v>720</v>
      </c>
      <c r="W44" s="1116">
        <v>720</v>
      </c>
      <c r="X44" s="776">
        <v>100</v>
      </c>
      <c r="Y44" s="1116"/>
      <c r="Z44" s="776">
        <f t="shared" si="5"/>
        <v>720</v>
      </c>
      <c r="AA44" s="775">
        <f t="shared" si="31"/>
        <v>2700</v>
      </c>
      <c r="AB44" s="775">
        <f t="shared" si="32"/>
        <v>720</v>
      </c>
      <c r="AC44" s="775">
        <f t="shared" si="33"/>
        <v>2700</v>
      </c>
      <c r="AD44" s="775">
        <f t="shared" si="34"/>
        <v>2550</v>
      </c>
      <c r="AE44" s="775">
        <f t="shared" si="35"/>
        <v>0</v>
      </c>
      <c r="AF44" s="1116"/>
      <c r="AG44" s="776"/>
      <c r="AH44" s="1526"/>
      <c r="AK44" s="747"/>
      <c r="AL44" s="747"/>
      <c r="AM44" s="746"/>
    </row>
    <row r="45" spans="1:39" ht="30" customHeight="1">
      <c r="A45" s="777">
        <v>17</v>
      </c>
      <c r="B45" s="1215" t="s">
        <v>194</v>
      </c>
      <c r="C45" s="1215"/>
      <c r="D45" s="1215"/>
      <c r="E45" s="1115" t="s">
        <v>348</v>
      </c>
      <c r="F45" s="780" t="s">
        <v>387</v>
      </c>
      <c r="G45" s="778" t="s">
        <v>46</v>
      </c>
      <c r="H45" s="358">
        <v>2016</v>
      </c>
      <c r="I45" s="358"/>
      <c r="J45" s="358">
        <v>2018</v>
      </c>
      <c r="K45" s="358"/>
      <c r="L45" s="358"/>
      <c r="M45" s="224" t="s">
        <v>195</v>
      </c>
      <c r="N45" s="1115">
        <v>4500</v>
      </c>
      <c r="O45" s="1115"/>
      <c r="P45" s="1115">
        <v>4500</v>
      </c>
      <c r="Q45" s="1115">
        <v>3025</v>
      </c>
      <c r="R45" s="1115"/>
      <c r="S45" s="1115">
        <v>3025</v>
      </c>
      <c r="T45" s="1115">
        <v>3850</v>
      </c>
      <c r="U45" s="1115">
        <v>1025</v>
      </c>
      <c r="V45" s="776">
        <f>VLOOKUP($B45,QD!$B$9:$L$316,10,0)</f>
        <v>1025</v>
      </c>
      <c r="W45" s="1116">
        <v>1025</v>
      </c>
      <c r="X45" s="776">
        <v>100</v>
      </c>
      <c r="Y45" s="1116"/>
      <c r="Z45" s="776">
        <f t="shared" si="5"/>
        <v>1025</v>
      </c>
      <c r="AA45" s="775">
        <f t="shared" si="31"/>
        <v>4050</v>
      </c>
      <c r="AB45" s="775">
        <f t="shared" si="32"/>
        <v>1025</v>
      </c>
      <c r="AC45" s="775">
        <f t="shared" si="33"/>
        <v>4050</v>
      </c>
      <c r="AD45" s="775">
        <f t="shared" si="34"/>
        <v>3850</v>
      </c>
      <c r="AE45" s="775">
        <f t="shared" si="35"/>
        <v>0</v>
      </c>
      <c r="AF45" s="1116"/>
      <c r="AG45" s="776"/>
      <c r="AH45" s="1526"/>
      <c r="AK45" s="747"/>
      <c r="AL45" s="747"/>
      <c r="AM45" s="746"/>
    </row>
    <row r="46" spans="1:39" ht="30" customHeight="1">
      <c r="A46" s="777">
        <v>18</v>
      </c>
      <c r="B46" s="1215" t="s">
        <v>196</v>
      </c>
      <c r="C46" s="1215"/>
      <c r="D46" s="1215"/>
      <c r="E46" s="1115" t="s">
        <v>348</v>
      </c>
      <c r="F46" s="780" t="s">
        <v>387</v>
      </c>
      <c r="G46" s="778" t="s">
        <v>46</v>
      </c>
      <c r="H46" s="358">
        <v>2016</v>
      </c>
      <c r="I46" s="358"/>
      <c r="J46" s="358">
        <v>2018</v>
      </c>
      <c r="K46" s="358"/>
      <c r="L46" s="358"/>
      <c r="M46" s="224" t="s">
        <v>197</v>
      </c>
      <c r="N46" s="1115">
        <v>6324</v>
      </c>
      <c r="O46" s="1115"/>
      <c r="P46" s="1115">
        <v>6324</v>
      </c>
      <c r="Q46" s="1115">
        <v>4000</v>
      </c>
      <c r="R46" s="1115"/>
      <c r="S46" s="1115">
        <v>4000</v>
      </c>
      <c r="T46" s="1115">
        <v>5542</v>
      </c>
      <c r="U46" s="1115">
        <v>1692</v>
      </c>
      <c r="V46" s="776">
        <f>VLOOKUP($B46,QD!$B$9:$L$316,10,0)</f>
        <v>1692</v>
      </c>
      <c r="W46" s="1116">
        <v>1692</v>
      </c>
      <c r="X46" s="776">
        <v>100</v>
      </c>
      <c r="Y46" s="1116"/>
      <c r="Z46" s="776">
        <f t="shared" si="5"/>
        <v>1692</v>
      </c>
      <c r="AA46" s="775">
        <f t="shared" si="31"/>
        <v>5692</v>
      </c>
      <c r="AB46" s="775">
        <f t="shared" si="32"/>
        <v>1692</v>
      </c>
      <c r="AC46" s="775">
        <f t="shared" si="33"/>
        <v>5692</v>
      </c>
      <c r="AD46" s="775">
        <f t="shared" si="34"/>
        <v>5542</v>
      </c>
      <c r="AE46" s="775">
        <f t="shared" si="35"/>
        <v>0</v>
      </c>
      <c r="AF46" s="1116"/>
      <c r="AG46" s="776"/>
      <c r="AH46" s="1526"/>
      <c r="AK46" s="747"/>
      <c r="AL46" s="747"/>
      <c r="AM46" s="746"/>
    </row>
    <row r="47" spans="1:39" ht="30" customHeight="1">
      <c r="A47" s="777">
        <v>19</v>
      </c>
      <c r="B47" s="1215" t="s">
        <v>198</v>
      </c>
      <c r="C47" s="1215"/>
      <c r="D47" s="1215"/>
      <c r="E47" s="1115" t="s">
        <v>348</v>
      </c>
      <c r="F47" s="780" t="s">
        <v>387</v>
      </c>
      <c r="G47" s="1215" t="s">
        <v>10</v>
      </c>
      <c r="H47" s="358">
        <v>2016</v>
      </c>
      <c r="I47" s="358"/>
      <c r="J47" s="358">
        <v>2018</v>
      </c>
      <c r="K47" s="358"/>
      <c r="L47" s="358"/>
      <c r="M47" s="224" t="s">
        <v>199</v>
      </c>
      <c r="N47" s="1115">
        <v>4000</v>
      </c>
      <c r="O47" s="1115"/>
      <c r="P47" s="1115">
        <v>4000</v>
      </c>
      <c r="Q47" s="1115">
        <v>2550</v>
      </c>
      <c r="R47" s="1115"/>
      <c r="S47" s="1115">
        <v>2550</v>
      </c>
      <c r="T47" s="1115">
        <v>3450</v>
      </c>
      <c r="U47" s="1115">
        <v>1050</v>
      </c>
      <c r="V47" s="776">
        <f>VLOOKUP($B47,QD!$B$9:$L$316,10,0)</f>
        <v>1050</v>
      </c>
      <c r="W47" s="1116">
        <v>1050</v>
      </c>
      <c r="X47" s="776">
        <v>100</v>
      </c>
      <c r="Y47" s="1116"/>
      <c r="Z47" s="776">
        <f t="shared" si="5"/>
        <v>1050</v>
      </c>
      <c r="AA47" s="775">
        <f t="shared" si="31"/>
        <v>3600</v>
      </c>
      <c r="AB47" s="775">
        <f t="shared" si="32"/>
        <v>1050</v>
      </c>
      <c r="AC47" s="775">
        <f t="shared" si="33"/>
        <v>3600</v>
      </c>
      <c r="AD47" s="775">
        <f t="shared" si="34"/>
        <v>3450</v>
      </c>
      <c r="AE47" s="775">
        <f t="shared" si="35"/>
        <v>0</v>
      </c>
      <c r="AF47" s="1116"/>
      <c r="AG47" s="776"/>
      <c r="AH47" s="1526"/>
      <c r="AK47" s="747"/>
      <c r="AL47" s="747"/>
      <c r="AM47" s="746"/>
    </row>
    <row r="48" spans="1:39" ht="30" customHeight="1">
      <c r="A48" s="777">
        <v>20</v>
      </c>
      <c r="B48" s="1215" t="s">
        <v>200</v>
      </c>
      <c r="C48" s="1215"/>
      <c r="D48" s="1215"/>
      <c r="E48" s="1115" t="s">
        <v>348</v>
      </c>
      <c r="F48" s="780" t="s">
        <v>387</v>
      </c>
      <c r="G48" s="1236" t="s">
        <v>33</v>
      </c>
      <c r="H48" s="358">
        <v>2016</v>
      </c>
      <c r="I48" s="358"/>
      <c r="J48" s="358">
        <v>2018</v>
      </c>
      <c r="K48" s="358"/>
      <c r="L48" s="358"/>
      <c r="M48" s="224" t="s">
        <v>201</v>
      </c>
      <c r="N48" s="1115">
        <v>3200</v>
      </c>
      <c r="O48" s="1115"/>
      <c r="P48" s="1115">
        <v>3200</v>
      </c>
      <c r="Q48" s="1115">
        <v>2120</v>
      </c>
      <c r="R48" s="1115"/>
      <c r="S48" s="1115">
        <v>2120</v>
      </c>
      <c r="T48" s="1115">
        <v>2730</v>
      </c>
      <c r="U48" s="1115">
        <v>760</v>
      </c>
      <c r="V48" s="776">
        <f>VLOOKUP($B48,QD!$B$9:$L$316,10,0)</f>
        <v>760</v>
      </c>
      <c r="W48" s="1116">
        <v>760</v>
      </c>
      <c r="X48" s="776">
        <v>100</v>
      </c>
      <c r="Y48" s="1116"/>
      <c r="Z48" s="776">
        <f t="shared" si="5"/>
        <v>760</v>
      </c>
      <c r="AA48" s="775">
        <f t="shared" si="31"/>
        <v>2880</v>
      </c>
      <c r="AB48" s="775">
        <f t="shared" si="32"/>
        <v>760</v>
      </c>
      <c r="AC48" s="775">
        <f t="shared" si="33"/>
        <v>2880</v>
      </c>
      <c r="AD48" s="775">
        <f t="shared" si="34"/>
        <v>2730</v>
      </c>
      <c r="AE48" s="775">
        <f t="shared" si="35"/>
        <v>0</v>
      </c>
      <c r="AF48" s="1116"/>
      <c r="AG48" s="776"/>
      <c r="AH48" s="1526"/>
      <c r="AK48" s="747"/>
      <c r="AL48" s="747"/>
      <c r="AM48" s="746"/>
    </row>
    <row r="49" spans="1:39" ht="30" customHeight="1">
      <c r="A49" s="777">
        <v>21</v>
      </c>
      <c r="B49" s="933" t="s">
        <v>202</v>
      </c>
      <c r="C49" s="933"/>
      <c r="D49" s="933"/>
      <c r="E49" s="1115" t="s">
        <v>348</v>
      </c>
      <c r="F49" s="780" t="s">
        <v>387</v>
      </c>
      <c r="G49" s="1215" t="s">
        <v>49</v>
      </c>
      <c r="H49" s="358">
        <v>2016</v>
      </c>
      <c r="I49" s="358"/>
      <c r="J49" s="358">
        <v>2018</v>
      </c>
      <c r="K49" s="358"/>
      <c r="L49" s="1525" t="s">
        <v>410</v>
      </c>
      <c r="M49" s="219" t="s">
        <v>203</v>
      </c>
      <c r="N49" s="1115">
        <v>4800</v>
      </c>
      <c r="O49" s="1115"/>
      <c r="P49" s="1115">
        <v>4800</v>
      </c>
      <c r="Q49" s="1115">
        <v>3030</v>
      </c>
      <c r="R49" s="1115"/>
      <c r="S49" s="1115">
        <v>3030</v>
      </c>
      <c r="T49" s="1115">
        <v>4170</v>
      </c>
      <c r="U49" s="1115">
        <v>1290</v>
      </c>
      <c r="V49" s="776">
        <f>VLOOKUP($B49,QD!$B$9:$L$316,10,0)</f>
        <v>1290</v>
      </c>
      <c r="W49" s="1116">
        <v>1290</v>
      </c>
      <c r="X49" s="776">
        <v>100</v>
      </c>
      <c r="Y49" s="1116"/>
      <c r="Z49" s="776">
        <f t="shared" si="5"/>
        <v>1290</v>
      </c>
      <c r="AA49" s="775">
        <f t="shared" si="31"/>
        <v>4320</v>
      </c>
      <c r="AB49" s="775">
        <f t="shared" si="32"/>
        <v>1290</v>
      </c>
      <c r="AC49" s="775">
        <f t="shared" si="33"/>
        <v>4320</v>
      </c>
      <c r="AD49" s="775">
        <f t="shared" si="34"/>
        <v>4170</v>
      </c>
      <c r="AE49" s="775">
        <f t="shared" si="35"/>
        <v>0</v>
      </c>
      <c r="AF49" s="1116"/>
      <c r="AG49" s="776"/>
      <c r="AH49" s="1526"/>
      <c r="AK49" s="747"/>
      <c r="AL49" s="747"/>
      <c r="AM49" s="746"/>
    </row>
    <row r="50" spans="1:39" ht="30" customHeight="1">
      <c r="A50" s="777">
        <v>22</v>
      </c>
      <c r="B50" s="1215" t="s">
        <v>204</v>
      </c>
      <c r="C50" s="1215"/>
      <c r="D50" s="1215"/>
      <c r="E50" s="1115" t="s">
        <v>348</v>
      </c>
      <c r="F50" s="780" t="s">
        <v>387</v>
      </c>
      <c r="G50" s="778" t="s">
        <v>46</v>
      </c>
      <c r="H50" s="358">
        <v>2016</v>
      </c>
      <c r="I50" s="358"/>
      <c r="J50" s="358">
        <v>2018</v>
      </c>
      <c r="K50" s="358"/>
      <c r="L50" s="358"/>
      <c r="M50" s="224" t="s">
        <v>205</v>
      </c>
      <c r="N50" s="1115">
        <v>3200</v>
      </c>
      <c r="O50" s="1115"/>
      <c r="P50" s="1115">
        <v>3200</v>
      </c>
      <c r="Q50" s="1115">
        <v>2070</v>
      </c>
      <c r="R50" s="1115"/>
      <c r="S50" s="1115">
        <v>2070</v>
      </c>
      <c r="T50" s="1115">
        <v>2730</v>
      </c>
      <c r="U50" s="1115">
        <v>810</v>
      </c>
      <c r="V50" s="776">
        <f>VLOOKUP($B50,QD!$B$9:$L$316,10,0)</f>
        <v>810</v>
      </c>
      <c r="W50" s="1116">
        <v>810</v>
      </c>
      <c r="X50" s="776">
        <v>100</v>
      </c>
      <c r="Y50" s="1116"/>
      <c r="Z50" s="776">
        <f t="shared" si="5"/>
        <v>810</v>
      </c>
      <c r="AA50" s="775">
        <f t="shared" si="31"/>
        <v>2880</v>
      </c>
      <c r="AB50" s="775">
        <f t="shared" si="32"/>
        <v>810</v>
      </c>
      <c r="AC50" s="775">
        <f t="shared" si="33"/>
        <v>2880</v>
      </c>
      <c r="AD50" s="775">
        <f t="shared" si="34"/>
        <v>2730</v>
      </c>
      <c r="AE50" s="775">
        <f t="shared" si="35"/>
        <v>0</v>
      </c>
      <c r="AF50" s="1116"/>
      <c r="AG50" s="776"/>
      <c r="AH50" s="1526"/>
      <c r="AK50" s="747"/>
      <c r="AL50" s="747"/>
      <c r="AM50" s="746"/>
    </row>
    <row r="51" spans="1:39" ht="30" customHeight="1">
      <c r="A51" s="777">
        <v>23</v>
      </c>
      <c r="B51" s="933" t="s">
        <v>206</v>
      </c>
      <c r="C51" s="933"/>
      <c r="D51" s="933"/>
      <c r="E51" s="1115" t="s">
        <v>348</v>
      </c>
      <c r="F51" s="780" t="s">
        <v>387</v>
      </c>
      <c r="G51" s="1236" t="s">
        <v>9</v>
      </c>
      <c r="H51" s="358">
        <v>2016</v>
      </c>
      <c r="I51" s="358"/>
      <c r="J51" s="358">
        <v>2018</v>
      </c>
      <c r="K51" s="358"/>
      <c r="L51" s="358"/>
      <c r="M51" s="219" t="s">
        <v>207</v>
      </c>
      <c r="N51" s="1115">
        <v>2794</v>
      </c>
      <c r="O51" s="1115"/>
      <c r="P51" s="1115">
        <v>2794</v>
      </c>
      <c r="Q51" s="1115">
        <v>2050</v>
      </c>
      <c r="R51" s="1115"/>
      <c r="S51" s="1115">
        <v>2050</v>
      </c>
      <c r="T51" s="1115">
        <v>2365</v>
      </c>
      <c r="U51" s="1115">
        <v>465</v>
      </c>
      <c r="V51" s="776">
        <f>VLOOKUP($B51,QD!$B$9:$L$316,10,0)</f>
        <v>465</v>
      </c>
      <c r="W51" s="1116">
        <v>465</v>
      </c>
      <c r="X51" s="776">
        <v>100</v>
      </c>
      <c r="Y51" s="1116"/>
      <c r="Z51" s="776">
        <f t="shared" si="5"/>
        <v>465</v>
      </c>
      <c r="AA51" s="775">
        <f t="shared" si="31"/>
        <v>2515</v>
      </c>
      <c r="AB51" s="775">
        <f t="shared" si="32"/>
        <v>465</v>
      </c>
      <c r="AC51" s="775">
        <f t="shared" si="33"/>
        <v>2515</v>
      </c>
      <c r="AD51" s="775">
        <f t="shared" si="34"/>
        <v>2365</v>
      </c>
      <c r="AE51" s="775">
        <f t="shared" si="35"/>
        <v>0</v>
      </c>
      <c r="AF51" s="1116"/>
      <c r="AG51" s="776"/>
      <c r="AH51" s="1526"/>
      <c r="AK51" s="747"/>
      <c r="AL51" s="747"/>
      <c r="AM51" s="746"/>
    </row>
    <row r="52" spans="1:39" ht="30" customHeight="1">
      <c r="A52" s="777">
        <v>24</v>
      </c>
      <c r="B52" s="1215" t="s">
        <v>208</v>
      </c>
      <c r="C52" s="1215"/>
      <c r="D52" s="1215"/>
      <c r="E52" s="1115" t="s">
        <v>348</v>
      </c>
      <c r="F52" s="780" t="s">
        <v>387</v>
      </c>
      <c r="G52" s="1299" t="s">
        <v>17</v>
      </c>
      <c r="H52" s="358">
        <v>2016</v>
      </c>
      <c r="I52" s="358"/>
      <c r="J52" s="358">
        <v>2018</v>
      </c>
      <c r="K52" s="358"/>
      <c r="L52" s="1525" t="s">
        <v>411</v>
      </c>
      <c r="M52" s="224" t="s">
        <v>209</v>
      </c>
      <c r="N52" s="1115">
        <v>3230</v>
      </c>
      <c r="O52" s="1115"/>
      <c r="P52" s="1115">
        <v>3230</v>
      </c>
      <c r="Q52" s="1115">
        <v>2125</v>
      </c>
      <c r="R52" s="1115"/>
      <c r="S52" s="1115">
        <v>2125</v>
      </c>
      <c r="T52" s="1115">
        <v>2757</v>
      </c>
      <c r="U52" s="1115">
        <v>782</v>
      </c>
      <c r="V52" s="776">
        <f>VLOOKUP($B52,QD!$B$9:$L$316,10,0)</f>
        <v>782</v>
      </c>
      <c r="W52" s="1116">
        <v>782</v>
      </c>
      <c r="X52" s="776">
        <v>100</v>
      </c>
      <c r="Y52" s="1116"/>
      <c r="Z52" s="776">
        <f t="shared" si="5"/>
        <v>782</v>
      </c>
      <c r="AA52" s="775">
        <f t="shared" si="31"/>
        <v>2907</v>
      </c>
      <c r="AB52" s="775">
        <f t="shared" si="32"/>
        <v>782</v>
      </c>
      <c r="AC52" s="775">
        <f t="shared" si="33"/>
        <v>2907</v>
      </c>
      <c r="AD52" s="775">
        <f t="shared" si="34"/>
        <v>2757</v>
      </c>
      <c r="AE52" s="775">
        <f t="shared" si="35"/>
        <v>0</v>
      </c>
      <c r="AF52" s="1116"/>
      <c r="AG52" s="776"/>
      <c r="AH52" s="1526"/>
      <c r="AK52" s="747"/>
      <c r="AL52" s="747"/>
      <c r="AM52" s="746"/>
    </row>
    <row r="53" spans="1:39" ht="30" customHeight="1">
      <c r="A53" s="777">
        <v>25</v>
      </c>
      <c r="B53" s="933" t="s">
        <v>210</v>
      </c>
      <c r="C53" s="933"/>
      <c r="D53" s="933"/>
      <c r="E53" s="1115" t="s">
        <v>348</v>
      </c>
      <c r="F53" s="780" t="s">
        <v>387</v>
      </c>
      <c r="G53" s="1236" t="s">
        <v>33</v>
      </c>
      <c r="H53" s="358">
        <v>2016</v>
      </c>
      <c r="I53" s="358"/>
      <c r="J53" s="358">
        <v>2018</v>
      </c>
      <c r="K53" s="358"/>
      <c r="L53" s="358"/>
      <c r="M53" s="219" t="s">
        <v>211</v>
      </c>
      <c r="N53" s="1115">
        <v>3200</v>
      </c>
      <c r="O53" s="1115"/>
      <c r="P53" s="1115">
        <v>3200</v>
      </c>
      <c r="Q53" s="1115">
        <v>2080</v>
      </c>
      <c r="R53" s="1115"/>
      <c r="S53" s="1115">
        <v>2080</v>
      </c>
      <c r="T53" s="1115">
        <v>2730</v>
      </c>
      <c r="U53" s="1115">
        <v>800</v>
      </c>
      <c r="V53" s="776">
        <f>VLOOKUP($B53,QD!$B$9:$L$316,10,0)</f>
        <v>800</v>
      </c>
      <c r="W53" s="1116">
        <v>800</v>
      </c>
      <c r="X53" s="776">
        <v>100</v>
      </c>
      <c r="Y53" s="1116"/>
      <c r="Z53" s="776">
        <f t="shared" si="5"/>
        <v>800</v>
      </c>
      <c r="AA53" s="775">
        <f t="shared" si="31"/>
        <v>2880</v>
      </c>
      <c r="AB53" s="775">
        <f t="shared" si="32"/>
        <v>800</v>
      </c>
      <c r="AC53" s="775">
        <f t="shared" si="33"/>
        <v>2880</v>
      </c>
      <c r="AD53" s="775">
        <f t="shared" si="34"/>
        <v>2730</v>
      </c>
      <c r="AE53" s="775">
        <f t="shared" si="35"/>
        <v>0</v>
      </c>
      <c r="AF53" s="1116"/>
      <c r="AG53" s="776"/>
      <c r="AH53" s="1526"/>
      <c r="AK53" s="747"/>
      <c r="AL53" s="747"/>
      <c r="AM53" s="746"/>
    </row>
    <row r="54" spans="1:39" ht="30" customHeight="1">
      <c r="A54" s="777">
        <v>26</v>
      </c>
      <c r="B54" s="1215" t="s">
        <v>212</v>
      </c>
      <c r="C54" s="1215"/>
      <c r="D54" s="1215"/>
      <c r="E54" s="1115" t="s">
        <v>348</v>
      </c>
      <c r="F54" s="780" t="s">
        <v>387</v>
      </c>
      <c r="G54" s="778" t="s">
        <v>46</v>
      </c>
      <c r="H54" s="358">
        <v>2016</v>
      </c>
      <c r="I54" s="358"/>
      <c r="J54" s="358">
        <v>2018</v>
      </c>
      <c r="K54" s="358"/>
      <c r="L54" s="358"/>
      <c r="M54" s="224" t="s">
        <v>213</v>
      </c>
      <c r="N54" s="1115">
        <v>3200</v>
      </c>
      <c r="O54" s="1115"/>
      <c r="P54" s="1115">
        <v>3200</v>
      </c>
      <c r="Q54" s="1115">
        <v>2080</v>
      </c>
      <c r="R54" s="1115"/>
      <c r="S54" s="1115">
        <v>2080</v>
      </c>
      <c r="T54" s="1115">
        <v>2730</v>
      </c>
      <c r="U54" s="1115">
        <v>800</v>
      </c>
      <c r="V54" s="776">
        <f>VLOOKUP($B54,QD!$B$9:$L$316,10,0)</f>
        <v>800</v>
      </c>
      <c r="W54" s="1116">
        <v>800</v>
      </c>
      <c r="X54" s="776">
        <v>100</v>
      </c>
      <c r="Y54" s="1116"/>
      <c r="Z54" s="776">
        <f t="shared" si="5"/>
        <v>800</v>
      </c>
      <c r="AA54" s="775">
        <f t="shared" si="31"/>
        <v>2880</v>
      </c>
      <c r="AB54" s="775">
        <f t="shared" si="32"/>
        <v>800</v>
      </c>
      <c r="AC54" s="775">
        <f t="shared" si="33"/>
        <v>2880</v>
      </c>
      <c r="AD54" s="775">
        <f t="shared" si="34"/>
        <v>2730</v>
      </c>
      <c r="AE54" s="775">
        <f t="shared" si="35"/>
        <v>0</v>
      </c>
      <c r="AF54" s="1116"/>
      <c r="AG54" s="776"/>
      <c r="AH54" s="1526"/>
      <c r="AK54" s="747"/>
      <c r="AL54" s="747"/>
      <c r="AM54" s="746"/>
    </row>
    <row r="55" spans="1:39" ht="30" customHeight="1">
      <c r="A55" s="777">
        <v>27</v>
      </c>
      <c r="B55" s="1215" t="s">
        <v>214</v>
      </c>
      <c r="C55" s="1215"/>
      <c r="D55" s="1215"/>
      <c r="E55" s="1115" t="s">
        <v>348</v>
      </c>
      <c r="F55" s="780" t="s">
        <v>387</v>
      </c>
      <c r="G55" s="778" t="s">
        <v>46</v>
      </c>
      <c r="H55" s="358">
        <v>2016</v>
      </c>
      <c r="I55" s="358"/>
      <c r="J55" s="358">
        <v>2018</v>
      </c>
      <c r="K55" s="358"/>
      <c r="L55" s="358"/>
      <c r="M55" s="224" t="s">
        <v>215</v>
      </c>
      <c r="N55" s="1115">
        <v>4800</v>
      </c>
      <c r="O55" s="1115"/>
      <c r="P55" s="1115">
        <v>4800</v>
      </c>
      <c r="Q55" s="1115">
        <v>3080</v>
      </c>
      <c r="R55" s="1115"/>
      <c r="S55" s="1115">
        <v>3080</v>
      </c>
      <c r="T55" s="1115">
        <v>4210</v>
      </c>
      <c r="U55" s="1115">
        <v>1240</v>
      </c>
      <c r="V55" s="776">
        <f>VLOOKUP($B55,QD!$B$9:$L$316,10,0)</f>
        <v>1240</v>
      </c>
      <c r="W55" s="1116">
        <v>1240</v>
      </c>
      <c r="X55" s="776">
        <v>100</v>
      </c>
      <c r="Y55" s="1116"/>
      <c r="Z55" s="776">
        <f t="shared" si="5"/>
        <v>1240</v>
      </c>
      <c r="AA55" s="775">
        <f t="shared" si="31"/>
        <v>4320</v>
      </c>
      <c r="AB55" s="775">
        <f t="shared" si="32"/>
        <v>1240</v>
      </c>
      <c r="AC55" s="775">
        <f t="shared" si="33"/>
        <v>4320</v>
      </c>
      <c r="AD55" s="775">
        <f t="shared" si="34"/>
        <v>4210</v>
      </c>
      <c r="AE55" s="775">
        <f t="shared" si="35"/>
        <v>0</v>
      </c>
      <c r="AF55" s="1116"/>
      <c r="AG55" s="776"/>
      <c r="AH55" s="1526"/>
      <c r="AK55" s="747"/>
      <c r="AL55" s="747"/>
      <c r="AM55" s="746"/>
    </row>
    <row r="56" spans="1:39" ht="30" customHeight="1">
      <c r="A56" s="777">
        <v>28</v>
      </c>
      <c r="B56" s="1215" t="s">
        <v>216</v>
      </c>
      <c r="C56" s="1215"/>
      <c r="D56" s="1215"/>
      <c r="E56" s="1115" t="s">
        <v>348</v>
      </c>
      <c r="F56" s="780" t="s">
        <v>387</v>
      </c>
      <c r="G56" s="1215" t="s">
        <v>10</v>
      </c>
      <c r="H56" s="358">
        <v>2016</v>
      </c>
      <c r="I56" s="358"/>
      <c r="J56" s="358">
        <v>2018</v>
      </c>
      <c r="K56" s="358"/>
      <c r="L56" s="358"/>
      <c r="M56" s="224" t="s">
        <v>217</v>
      </c>
      <c r="N56" s="1115">
        <v>4800</v>
      </c>
      <c r="O56" s="1115"/>
      <c r="P56" s="1115">
        <v>4800</v>
      </c>
      <c r="Q56" s="1115">
        <v>2950</v>
      </c>
      <c r="R56" s="1115"/>
      <c r="S56" s="1115">
        <v>2950</v>
      </c>
      <c r="T56" s="1115">
        <v>4320</v>
      </c>
      <c r="U56" s="1115">
        <v>1370</v>
      </c>
      <c r="V56" s="776">
        <f>VLOOKUP($B56,QD!$B$9:$L$316,10,0)</f>
        <v>1370</v>
      </c>
      <c r="W56" s="1116">
        <v>1370</v>
      </c>
      <c r="X56" s="776">
        <v>100</v>
      </c>
      <c r="Y56" s="1116"/>
      <c r="Z56" s="776">
        <f t="shared" si="5"/>
        <v>1370</v>
      </c>
      <c r="AA56" s="775">
        <f t="shared" si="31"/>
        <v>4320</v>
      </c>
      <c r="AB56" s="775">
        <f t="shared" si="32"/>
        <v>1370</v>
      </c>
      <c r="AC56" s="775">
        <f t="shared" si="33"/>
        <v>4320</v>
      </c>
      <c r="AD56" s="775">
        <f t="shared" si="34"/>
        <v>4320</v>
      </c>
      <c r="AE56" s="775">
        <f t="shared" si="35"/>
        <v>0</v>
      </c>
      <c r="AF56" s="1116"/>
      <c r="AG56" s="776"/>
      <c r="AH56" s="1526"/>
      <c r="AK56" s="747"/>
      <c r="AL56" s="747"/>
      <c r="AM56" s="746"/>
    </row>
    <row r="57" spans="1:39" ht="30" customHeight="1">
      <c r="A57" s="777">
        <v>29</v>
      </c>
      <c r="B57" s="1215" t="s">
        <v>218</v>
      </c>
      <c r="C57" s="1215"/>
      <c r="D57" s="1215"/>
      <c r="E57" s="1115" t="s">
        <v>348</v>
      </c>
      <c r="F57" s="780" t="s">
        <v>387</v>
      </c>
      <c r="G57" s="1215" t="s">
        <v>10</v>
      </c>
      <c r="H57" s="358">
        <v>2016</v>
      </c>
      <c r="I57" s="358"/>
      <c r="J57" s="358">
        <v>2018</v>
      </c>
      <c r="K57" s="358"/>
      <c r="L57" s="358"/>
      <c r="M57" s="224" t="s">
        <v>219</v>
      </c>
      <c r="N57" s="1115">
        <v>2500</v>
      </c>
      <c r="O57" s="1115"/>
      <c r="P57" s="1115">
        <v>2500</v>
      </c>
      <c r="Q57" s="1115">
        <v>1650</v>
      </c>
      <c r="R57" s="1115"/>
      <c r="S57" s="1115">
        <v>1650</v>
      </c>
      <c r="T57" s="1115">
        <v>2150</v>
      </c>
      <c r="U57" s="1115">
        <v>600</v>
      </c>
      <c r="V57" s="776">
        <f>VLOOKUP($B57,QD!$B$9:$L$316,10,0)</f>
        <v>600</v>
      </c>
      <c r="W57" s="1116">
        <v>600</v>
      </c>
      <c r="X57" s="776">
        <v>100</v>
      </c>
      <c r="Y57" s="1116"/>
      <c r="Z57" s="776">
        <f t="shared" si="5"/>
        <v>600</v>
      </c>
      <c r="AA57" s="775">
        <f t="shared" si="31"/>
        <v>2250</v>
      </c>
      <c r="AB57" s="775">
        <f t="shared" si="32"/>
        <v>600</v>
      </c>
      <c r="AC57" s="775">
        <f t="shared" si="33"/>
        <v>2250</v>
      </c>
      <c r="AD57" s="775">
        <f t="shared" si="34"/>
        <v>2150</v>
      </c>
      <c r="AE57" s="775">
        <f t="shared" si="35"/>
        <v>0</v>
      </c>
      <c r="AF57" s="1116"/>
      <c r="AG57" s="776"/>
      <c r="AH57" s="1526"/>
      <c r="AK57" s="747"/>
      <c r="AL57" s="747"/>
      <c r="AM57" s="746"/>
    </row>
    <row r="58" spans="1:39" ht="30" customHeight="1">
      <c r="A58" s="777">
        <v>30</v>
      </c>
      <c r="B58" s="1215" t="s">
        <v>220</v>
      </c>
      <c r="C58" s="1215"/>
      <c r="D58" s="1215"/>
      <c r="E58" s="1115" t="s">
        <v>348</v>
      </c>
      <c r="F58" s="780" t="s">
        <v>387</v>
      </c>
      <c r="G58" s="778" t="s">
        <v>46</v>
      </c>
      <c r="H58" s="358">
        <v>2016</v>
      </c>
      <c r="I58" s="358"/>
      <c r="J58" s="358">
        <v>2018</v>
      </c>
      <c r="K58" s="358"/>
      <c r="L58" s="358"/>
      <c r="M58" s="224" t="s">
        <v>221</v>
      </c>
      <c r="N58" s="1115">
        <v>4800</v>
      </c>
      <c r="O58" s="1115"/>
      <c r="P58" s="1115">
        <v>1800</v>
      </c>
      <c r="Q58" s="1125">
        <v>3510</v>
      </c>
      <c r="R58" s="1115"/>
      <c r="S58" s="1115">
        <v>510</v>
      </c>
      <c r="T58" s="1115">
        <v>1620</v>
      </c>
      <c r="U58" s="1115">
        <v>1110</v>
      </c>
      <c r="V58" s="776">
        <f>VLOOKUP($B58,QD!$B$9:$L$316,10,0)</f>
        <v>1110</v>
      </c>
      <c r="W58" s="1116">
        <v>1110</v>
      </c>
      <c r="X58" s="776">
        <v>100</v>
      </c>
      <c r="Y58" s="1530"/>
      <c r="Z58" s="776">
        <f t="shared" si="5"/>
        <v>1110</v>
      </c>
      <c r="AA58" s="775">
        <f t="shared" si="31"/>
        <v>4620</v>
      </c>
      <c r="AB58" s="775">
        <f t="shared" si="32"/>
        <v>1110</v>
      </c>
      <c r="AC58" s="775">
        <f t="shared" si="33"/>
        <v>1620</v>
      </c>
      <c r="AD58" s="775">
        <f t="shared" si="34"/>
        <v>1620</v>
      </c>
      <c r="AE58" s="775">
        <f t="shared" si="35"/>
        <v>0</v>
      </c>
      <c r="AF58" s="1530"/>
      <c r="AG58" s="776"/>
      <c r="AH58" s="1526" t="s">
        <v>783</v>
      </c>
      <c r="AK58" s="747"/>
      <c r="AL58" s="747"/>
      <c r="AM58" s="746"/>
    </row>
    <row r="59" spans="1:39" ht="30" customHeight="1">
      <c r="A59" s="777">
        <v>31</v>
      </c>
      <c r="B59" s="1215" t="s">
        <v>222</v>
      </c>
      <c r="C59" s="1215"/>
      <c r="D59" s="1215"/>
      <c r="E59" s="1115" t="s">
        <v>348</v>
      </c>
      <c r="F59" s="780" t="s">
        <v>387</v>
      </c>
      <c r="G59" s="1299" t="s">
        <v>17</v>
      </c>
      <c r="H59" s="358">
        <v>2016</v>
      </c>
      <c r="I59" s="358"/>
      <c r="J59" s="358">
        <v>2018</v>
      </c>
      <c r="K59" s="358"/>
      <c r="L59" s="358"/>
      <c r="M59" s="224" t="s">
        <v>223</v>
      </c>
      <c r="N59" s="1115">
        <v>3000</v>
      </c>
      <c r="O59" s="1115"/>
      <c r="P59" s="1115">
        <v>3000</v>
      </c>
      <c r="Q59" s="1115">
        <v>1900</v>
      </c>
      <c r="R59" s="1115"/>
      <c r="S59" s="1115">
        <v>1900</v>
      </c>
      <c r="T59" s="1115">
        <v>2700</v>
      </c>
      <c r="U59" s="1115">
        <v>800</v>
      </c>
      <c r="V59" s="776">
        <f>VLOOKUP($B59,QD!$B$9:$L$316,10,0)</f>
        <v>800</v>
      </c>
      <c r="W59" s="1116">
        <v>800</v>
      </c>
      <c r="X59" s="776">
        <v>100</v>
      </c>
      <c r="Y59" s="1116"/>
      <c r="Z59" s="776">
        <f t="shared" si="5"/>
        <v>800</v>
      </c>
      <c r="AA59" s="775">
        <f t="shared" si="31"/>
        <v>2700</v>
      </c>
      <c r="AB59" s="775">
        <f t="shared" si="32"/>
        <v>800</v>
      </c>
      <c r="AC59" s="775">
        <f t="shared" si="33"/>
        <v>2700</v>
      </c>
      <c r="AD59" s="775">
        <f t="shared" si="34"/>
        <v>2700</v>
      </c>
      <c r="AE59" s="775">
        <f t="shared" si="35"/>
        <v>0</v>
      </c>
      <c r="AF59" s="1116"/>
      <c r="AG59" s="776"/>
      <c r="AH59" s="1526"/>
      <c r="AK59" s="747"/>
      <c r="AL59" s="747"/>
      <c r="AM59" s="746"/>
    </row>
    <row r="60" spans="1:39" ht="30" customHeight="1">
      <c r="A60" s="777">
        <v>32</v>
      </c>
      <c r="B60" s="1527" t="s">
        <v>224</v>
      </c>
      <c r="C60" s="1527"/>
      <c r="D60" s="1527"/>
      <c r="E60" s="1115" t="s">
        <v>348</v>
      </c>
      <c r="F60" s="780" t="s">
        <v>387</v>
      </c>
      <c r="G60" s="778" t="s">
        <v>46</v>
      </c>
      <c r="H60" s="358">
        <v>2016</v>
      </c>
      <c r="I60" s="358"/>
      <c r="J60" s="358">
        <v>2018</v>
      </c>
      <c r="K60" s="358"/>
      <c r="L60" s="358"/>
      <c r="M60" s="219" t="s">
        <v>225</v>
      </c>
      <c r="N60" s="1115">
        <v>1888</v>
      </c>
      <c r="O60" s="1115"/>
      <c r="P60" s="1115">
        <v>1888</v>
      </c>
      <c r="Q60" s="1115">
        <v>750</v>
      </c>
      <c r="R60" s="1115"/>
      <c r="S60" s="1115">
        <v>750</v>
      </c>
      <c r="T60" s="1115">
        <v>1549</v>
      </c>
      <c r="U60" s="1115">
        <v>949</v>
      </c>
      <c r="V60" s="776">
        <f>VLOOKUP($B60,QD!$B$9:$L$316,10,0)</f>
        <v>949</v>
      </c>
      <c r="W60" s="1116">
        <v>949</v>
      </c>
      <c r="X60" s="776">
        <v>100</v>
      </c>
      <c r="Y60" s="1116"/>
      <c r="Z60" s="776">
        <f t="shared" si="5"/>
        <v>949</v>
      </c>
      <c r="AA60" s="775">
        <f t="shared" si="31"/>
        <v>1699</v>
      </c>
      <c r="AB60" s="775">
        <f t="shared" si="32"/>
        <v>949</v>
      </c>
      <c r="AC60" s="775">
        <f t="shared" si="33"/>
        <v>1699</v>
      </c>
      <c r="AD60" s="775">
        <f t="shared" si="34"/>
        <v>1549</v>
      </c>
      <c r="AE60" s="775">
        <f t="shared" si="35"/>
        <v>0</v>
      </c>
      <c r="AF60" s="1116"/>
      <c r="AG60" s="776"/>
      <c r="AH60" s="1526"/>
      <c r="AK60" s="747"/>
      <c r="AL60" s="747"/>
      <c r="AM60" s="746"/>
    </row>
    <row r="61" spans="1:39" ht="30" customHeight="1">
      <c r="A61" s="777">
        <v>33</v>
      </c>
      <c r="B61" s="933" t="s">
        <v>226</v>
      </c>
      <c r="C61" s="933"/>
      <c r="D61" s="933"/>
      <c r="E61" s="1115" t="s">
        <v>348</v>
      </c>
      <c r="F61" s="780" t="s">
        <v>387</v>
      </c>
      <c r="G61" s="1215" t="s">
        <v>26</v>
      </c>
      <c r="H61" s="358">
        <v>2016</v>
      </c>
      <c r="I61" s="358"/>
      <c r="J61" s="358">
        <v>2018</v>
      </c>
      <c r="K61" s="358"/>
      <c r="L61" s="1525" t="s">
        <v>412</v>
      </c>
      <c r="M61" s="219" t="s">
        <v>227</v>
      </c>
      <c r="N61" s="1115">
        <v>3000</v>
      </c>
      <c r="O61" s="1115"/>
      <c r="P61" s="1115">
        <v>3000</v>
      </c>
      <c r="Q61" s="1115">
        <v>1953</v>
      </c>
      <c r="R61" s="1115"/>
      <c r="S61" s="1115">
        <v>1953</v>
      </c>
      <c r="T61" s="1115">
        <v>2500</v>
      </c>
      <c r="U61" s="1115">
        <v>747</v>
      </c>
      <c r="V61" s="776">
        <f>VLOOKUP($B61,QD!$B$9:$L$316,10,0)</f>
        <v>747</v>
      </c>
      <c r="W61" s="1116">
        <v>747</v>
      </c>
      <c r="X61" s="776">
        <v>100</v>
      </c>
      <c r="Y61" s="1116"/>
      <c r="Z61" s="776">
        <f t="shared" si="5"/>
        <v>747</v>
      </c>
      <c r="AA61" s="775">
        <f t="shared" si="31"/>
        <v>2700</v>
      </c>
      <c r="AB61" s="775">
        <f t="shared" si="32"/>
        <v>747</v>
      </c>
      <c r="AC61" s="775">
        <f t="shared" si="33"/>
        <v>2700</v>
      </c>
      <c r="AD61" s="775">
        <f t="shared" si="34"/>
        <v>2500</v>
      </c>
      <c r="AE61" s="775">
        <f t="shared" si="35"/>
        <v>0</v>
      </c>
      <c r="AF61" s="1116"/>
      <c r="AG61" s="776"/>
      <c r="AH61" s="1526"/>
      <c r="AK61" s="747"/>
      <c r="AL61" s="747"/>
      <c r="AM61" s="746"/>
    </row>
    <row r="62" spans="1:39" ht="30" customHeight="1">
      <c r="A62" s="777">
        <v>34</v>
      </c>
      <c r="B62" s="933" t="s">
        <v>228</v>
      </c>
      <c r="C62" s="933"/>
      <c r="D62" s="933"/>
      <c r="E62" s="1115" t="s">
        <v>348</v>
      </c>
      <c r="F62" s="780" t="s">
        <v>387</v>
      </c>
      <c r="G62" s="1215" t="s">
        <v>44</v>
      </c>
      <c r="H62" s="358">
        <v>2016</v>
      </c>
      <c r="I62" s="358"/>
      <c r="J62" s="358">
        <v>2018</v>
      </c>
      <c r="K62" s="358"/>
      <c r="L62" s="1525" t="s">
        <v>413</v>
      </c>
      <c r="M62" s="219" t="s">
        <v>229</v>
      </c>
      <c r="N62" s="1115">
        <v>2578</v>
      </c>
      <c r="O62" s="1115"/>
      <c r="P62" s="1115">
        <v>2578</v>
      </c>
      <c r="Q62" s="1115">
        <v>1815</v>
      </c>
      <c r="R62" s="1115"/>
      <c r="S62" s="1115">
        <v>1815</v>
      </c>
      <c r="T62" s="1115">
        <v>2070</v>
      </c>
      <c r="U62" s="1115">
        <v>505</v>
      </c>
      <c r="V62" s="776">
        <f>VLOOKUP($B62,QD!$B$9:$L$316,10,0)</f>
        <v>505</v>
      </c>
      <c r="W62" s="1116">
        <v>505</v>
      </c>
      <c r="X62" s="776">
        <v>100</v>
      </c>
      <c r="Y62" s="1116"/>
      <c r="Z62" s="776">
        <f t="shared" si="5"/>
        <v>505</v>
      </c>
      <c r="AA62" s="775">
        <f t="shared" si="31"/>
        <v>2320</v>
      </c>
      <c r="AB62" s="775">
        <f t="shared" si="32"/>
        <v>505</v>
      </c>
      <c r="AC62" s="775">
        <f t="shared" si="33"/>
        <v>2320</v>
      </c>
      <c r="AD62" s="775">
        <f t="shared" si="34"/>
        <v>2070</v>
      </c>
      <c r="AE62" s="775">
        <f t="shared" si="35"/>
        <v>0</v>
      </c>
      <c r="AF62" s="1116"/>
      <c r="AG62" s="776"/>
      <c r="AH62" s="1526"/>
      <c r="AK62" s="747"/>
      <c r="AL62" s="747"/>
      <c r="AM62" s="746"/>
    </row>
    <row r="63" spans="1:39" ht="30" customHeight="1">
      <c r="A63" s="777">
        <v>35</v>
      </c>
      <c r="B63" s="933" t="s">
        <v>230</v>
      </c>
      <c r="C63" s="933"/>
      <c r="D63" s="933"/>
      <c r="E63" s="1115" t="s">
        <v>348</v>
      </c>
      <c r="F63" s="780" t="s">
        <v>387</v>
      </c>
      <c r="G63" s="1215" t="s">
        <v>26</v>
      </c>
      <c r="H63" s="358">
        <v>2016</v>
      </c>
      <c r="I63" s="358"/>
      <c r="J63" s="358">
        <v>2018</v>
      </c>
      <c r="K63" s="358"/>
      <c r="L63" s="1525" t="s">
        <v>414</v>
      </c>
      <c r="M63" s="219" t="s">
        <v>349</v>
      </c>
      <c r="N63" s="1115">
        <v>2998</v>
      </c>
      <c r="O63" s="1115"/>
      <c r="P63" s="1115">
        <v>2998</v>
      </c>
      <c r="Q63" s="1115">
        <v>1963</v>
      </c>
      <c r="R63" s="1115"/>
      <c r="S63" s="1115">
        <v>1963</v>
      </c>
      <c r="T63" s="1115">
        <v>2498</v>
      </c>
      <c r="U63" s="1115">
        <v>735</v>
      </c>
      <c r="V63" s="776">
        <f>VLOOKUP($B63,QD!$B$9:$L$316,10,0)</f>
        <v>735</v>
      </c>
      <c r="W63" s="1116">
        <v>735</v>
      </c>
      <c r="X63" s="776">
        <v>100</v>
      </c>
      <c r="Y63" s="1116"/>
      <c r="Z63" s="776">
        <f t="shared" si="5"/>
        <v>735</v>
      </c>
      <c r="AA63" s="775">
        <f t="shared" si="31"/>
        <v>2698</v>
      </c>
      <c r="AB63" s="775">
        <f t="shared" si="32"/>
        <v>735</v>
      </c>
      <c r="AC63" s="775">
        <f t="shared" si="33"/>
        <v>2698</v>
      </c>
      <c r="AD63" s="775">
        <f t="shared" si="34"/>
        <v>2498</v>
      </c>
      <c r="AE63" s="775">
        <f t="shared" si="35"/>
        <v>0</v>
      </c>
      <c r="AF63" s="1116"/>
      <c r="AG63" s="776"/>
      <c r="AH63" s="1526"/>
      <c r="AK63" s="747"/>
      <c r="AL63" s="747"/>
      <c r="AM63" s="746"/>
    </row>
    <row r="64" spans="1:39" ht="30" customHeight="1">
      <c r="A64" s="777">
        <v>36</v>
      </c>
      <c r="B64" s="1215" t="s">
        <v>328</v>
      </c>
      <c r="C64" s="1215"/>
      <c r="D64" s="1215"/>
      <c r="E64" s="1115" t="s">
        <v>348</v>
      </c>
      <c r="F64" s="780" t="s">
        <v>387</v>
      </c>
      <c r="G64" s="1215" t="s">
        <v>10</v>
      </c>
      <c r="H64" s="358">
        <v>2016</v>
      </c>
      <c r="I64" s="358"/>
      <c r="J64" s="358">
        <v>2018</v>
      </c>
      <c r="K64" s="358"/>
      <c r="L64" s="358"/>
      <c r="M64" s="224" t="s">
        <v>329</v>
      </c>
      <c r="N64" s="1115">
        <v>2994</v>
      </c>
      <c r="O64" s="1115"/>
      <c r="P64" s="1115">
        <v>2394</v>
      </c>
      <c r="Q64" s="1125">
        <v>939</v>
      </c>
      <c r="R64" s="1115"/>
      <c r="S64" s="1115">
        <v>339</v>
      </c>
      <c r="T64" s="1115">
        <v>2394</v>
      </c>
      <c r="U64" s="1115">
        <v>2055</v>
      </c>
      <c r="V64" s="776">
        <f>VLOOKUP($B64,QD!$B$9:$L$316,10,0)</f>
        <v>2055</v>
      </c>
      <c r="W64" s="1116">
        <v>2055</v>
      </c>
      <c r="X64" s="776">
        <v>100</v>
      </c>
      <c r="Y64" s="1116"/>
      <c r="Z64" s="776">
        <f t="shared" si="5"/>
        <v>2055</v>
      </c>
      <c r="AA64" s="775">
        <f t="shared" si="31"/>
        <v>2994</v>
      </c>
      <c r="AB64" s="775">
        <f t="shared" si="32"/>
        <v>2055</v>
      </c>
      <c r="AC64" s="775">
        <f t="shared" si="33"/>
        <v>2394</v>
      </c>
      <c r="AD64" s="775">
        <f t="shared" si="34"/>
        <v>2394</v>
      </c>
      <c r="AE64" s="775">
        <f t="shared" si="35"/>
        <v>0</v>
      </c>
      <c r="AF64" s="1116"/>
      <c r="AG64" s="776"/>
      <c r="AH64" s="1526" t="s">
        <v>783</v>
      </c>
      <c r="AK64" s="747"/>
      <c r="AL64" s="747"/>
      <c r="AM64" s="746"/>
    </row>
    <row r="65" spans="1:40" ht="30" customHeight="1">
      <c r="A65" s="816" t="s">
        <v>472</v>
      </c>
      <c r="B65" s="817" t="s">
        <v>523</v>
      </c>
      <c r="C65" s="817"/>
      <c r="D65" s="817"/>
      <c r="E65" s="818"/>
      <c r="F65" s="819"/>
      <c r="G65" s="817"/>
      <c r="H65" s="820"/>
      <c r="I65" s="820"/>
      <c r="J65" s="820"/>
      <c r="K65" s="820"/>
      <c r="L65" s="820"/>
      <c r="M65" s="241"/>
      <c r="N65" s="752">
        <f>SUBTOTAL(109,N66:N112)</f>
        <v>186777.3</v>
      </c>
      <c r="O65" s="752">
        <f t="shared" ref="O65:U65" si="36">SUBTOTAL(109,O66:O112)</f>
        <v>0</v>
      </c>
      <c r="P65" s="752">
        <f t="shared" si="36"/>
        <v>183548.3</v>
      </c>
      <c r="Q65" s="752">
        <f t="shared" si="36"/>
        <v>50250</v>
      </c>
      <c r="R65" s="752">
        <f t="shared" si="36"/>
        <v>805</v>
      </c>
      <c r="S65" s="752">
        <f t="shared" si="36"/>
        <v>50250</v>
      </c>
      <c r="T65" s="752">
        <f t="shared" si="36"/>
        <v>163385</v>
      </c>
      <c r="U65" s="752">
        <f t="shared" si="36"/>
        <v>114650</v>
      </c>
      <c r="V65" s="776">
        <f>VLOOKUP($B65,QD!$B$9:$L$316,10,0)</f>
        <v>0</v>
      </c>
      <c r="W65" s="753">
        <v>59791.5</v>
      </c>
      <c r="X65" s="776"/>
      <c r="Y65" s="753"/>
      <c r="Z65" s="776">
        <f t="shared" si="5"/>
        <v>0</v>
      </c>
      <c r="AA65" s="752">
        <f t="shared" ref="AA65:AE65" si="37">SUBTOTAL(109,AA66:AA112)</f>
        <v>110358</v>
      </c>
      <c r="AB65" s="752">
        <f t="shared" si="37"/>
        <v>60913</v>
      </c>
      <c r="AC65" s="752">
        <f t="shared" si="37"/>
        <v>110358</v>
      </c>
      <c r="AD65" s="752">
        <f t="shared" si="37"/>
        <v>163385</v>
      </c>
      <c r="AE65" s="752">
        <f t="shared" si="37"/>
        <v>54542</v>
      </c>
      <c r="AF65" s="753"/>
      <c r="AG65" s="776"/>
      <c r="AH65" s="818"/>
      <c r="AK65" s="747"/>
      <c r="AL65" s="747"/>
      <c r="AM65" s="746"/>
    </row>
    <row r="66" spans="1:40" ht="30" customHeight="1">
      <c r="A66" s="777">
        <v>37</v>
      </c>
      <c r="B66" s="1215" t="s">
        <v>231</v>
      </c>
      <c r="C66" s="1215"/>
      <c r="D66" s="1215"/>
      <c r="E66" s="1115" t="s">
        <v>348</v>
      </c>
      <c r="F66" s="780" t="s">
        <v>387</v>
      </c>
      <c r="G66" s="778" t="s">
        <v>46</v>
      </c>
      <c r="H66" s="358">
        <v>2017</v>
      </c>
      <c r="I66" s="358"/>
      <c r="J66" s="358">
        <v>2019</v>
      </c>
      <c r="K66" s="358"/>
      <c r="L66" s="358"/>
      <c r="M66" s="224" t="s">
        <v>232</v>
      </c>
      <c r="N66" s="1115">
        <v>2600</v>
      </c>
      <c r="O66" s="1115"/>
      <c r="P66" s="1115">
        <v>2600</v>
      </c>
      <c r="Q66" s="1125">
        <v>725</v>
      </c>
      <c r="R66" s="1125"/>
      <c r="S66" s="1125">
        <v>725</v>
      </c>
      <c r="T66" s="1115">
        <v>2265</v>
      </c>
      <c r="U66" s="1115">
        <v>1615</v>
      </c>
      <c r="V66" s="776">
        <f>VLOOKUP($B66,QD!$B$9:$L$316,10,0)</f>
        <v>1615</v>
      </c>
      <c r="W66" s="776">
        <v>1615</v>
      </c>
      <c r="X66" s="776">
        <v>100</v>
      </c>
      <c r="Y66" s="1116"/>
      <c r="Z66" s="776">
        <f t="shared" si="5"/>
        <v>1615</v>
      </c>
      <c r="AA66" s="775">
        <f t="shared" ref="AA66" si="38">Q66+$Z66</f>
        <v>2340</v>
      </c>
      <c r="AB66" s="775">
        <f t="shared" ref="AB66" si="39">R66+$Z66</f>
        <v>1615</v>
      </c>
      <c r="AC66" s="775">
        <f t="shared" ref="AC66" si="40">S66+$Z66</f>
        <v>2340</v>
      </c>
      <c r="AD66" s="775">
        <f t="shared" ref="AD66" si="41">T66</f>
        <v>2265</v>
      </c>
      <c r="AE66" s="775">
        <f t="shared" ref="AE66" si="42">U66-Z66</f>
        <v>0</v>
      </c>
      <c r="AF66" s="1116"/>
      <c r="AG66" s="776"/>
      <c r="AH66" s="1526" t="s">
        <v>783</v>
      </c>
      <c r="AK66" s="747"/>
      <c r="AL66" s="747"/>
      <c r="AM66" s="746"/>
    </row>
    <row r="67" spans="1:40" ht="30" customHeight="1">
      <c r="A67" s="777">
        <v>38</v>
      </c>
      <c r="B67" s="933" t="s">
        <v>233</v>
      </c>
      <c r="C67" s="226"/>
      <c r="D67" s="933"/>
      <c r="E67" s="1115" t="s">
        <v>348</v>
      </c>
      <c r="F67" s="780" t="s">
        <v>387</v>
      </c>
      <c r="G67" s="778" t="s">
        <v>46</v>
      </c>
      <c r="H67" s="358">
        <v>2017</v>
      </c>
      <c r="I67" s="358"/>
      <c r="J67" s="358">
        <v>2019</v>
      </c>
      <c r="K67" s="358"/>
      <c r="L67" s="1525" t="s">
        <v>415</v>
      </c>
      <c r="M67" s="224" t="s">
        <v>234</v>
      </c>
      <c r="N67" s="1115">
        <v>4556</v>
      </c>
      <c r="O67" s="1115"/>
      <c r="P67" s="1115">
        <v>4556</v>
      </c>
      <c r="Q67" s="1115">
        <v>1120</v>
      </c>
      <c r="R67" s="1115"/>
      <c r="S67" s="1115">
        <v>1120</v>
      </c>
      <c r="T67" s="1115">
        <v>4025</v>
      </c>
      <c r="U67" s="1115">
        <v>2905</v>
      </c>
      <c r="V67" s="776">
        <f>VLOOKUP($B67,QD!$B$9:$L$316,10,0)</f>
        <v>1452</v>
      </c>
      <c r="W67" s="776">
        <v>1452.5</v>
      </c>
      <c r="X67" s="776">
        <v>50</v>
      </c>
      <c r="Y67" s="1116"/>
      <c r="Z67" s="776">
        <f t="shared" si="5"/>
        <v>1452</v>
      </c>
      <c r="AA67" s="775">
        <f t="shared" ref="AA67:AA112" si="43">Q67+$Z67</f>
        <v>2572</v>
      </c>
      <c r="AB67" s="775">
        <f t="shared" ref="AB67:AB112" si="44">R67+$Z67</f>
        <v>1452</v>
      </c>
      <c r="AC67" s="775">
        <f t="shared" ref="AC67:AC112" si="45">S67+$Z67</f>
        <v>2572</v>
      </c>
      <c r="AD67" s="775">
        <f t="shared" ref="AD67:AD112" si="46">T67</f>
        <v>4025</v>
      </c>
      <c r="AE67" s="775">
        <f t="shared" ref="AE67:AE112" si="47">U67-Z67</f>
        <v>1453</v>
      </c>
      <c r="AF67" s="1116"/>
      <c r="AG67" s="776"/>
      <c r="AH67" s="1526"/>
      <c r="AK67" s="747" t="s">
        <v>2016</v>
      </c>
      <c r="AL67" s="747"/>
      <c r="AM67" s="746"/>
      <c r="AN67" s="745" t="s">
        <v>2087</v>
      </c>
    </row>
    <row r="68" spans="1:40" ht="30" customHeight="1">
      <c r="A68" s="777">
        <v>39</v>
      </c>
      <c r="B68" s="1215" t="s">
        <v>235</v>
      </c>
      <c r="C68" s="1531"/>
      <c r="D68" s="1215"/>
      <c r="E68" s="1115" t="s">
        <v>348</v>
      </c>
      <c r="F68" s="780" t="s">
        <v>387</v>
      </c>
      <c r="G68" s="1236" t="s">
        <v>33</v>
      </c>
      <c r="H68" s="358">
        <v>2017</v>
      </c>
      <c r="I68" s="358"/>
      <c r="J68" s="358">
        <v>2019</v>
      </c>
      <c r="K68" s="358"/>
      <c r="L68" s="1525" t="s">
        <v>416</v>
      </c>
      <c r="M68" s="224" t="s">
        <v>236</v>
      </c>
      <c r="N68" s="1115">
        <v>6229</v>
      </c>
      <c r="O68" s="1115"/>
      <c r="P68" s="1115">
        <v>3000</v>
      </c>
      <c r="Q68" s="1125">
        <v>1025</v>
      </c>
      <c r="R68" s="1125"/>
      <c r="S68" s="1125">
        <v>1025</v>
      </c>
      <c r="T68" s="1115">
        <v>2625</v>
      </c>
      <c r="U68" s="1115">
        <v>1675</v>
      </c>
      <c r="V68" s="776">
        <f>VLOOKUP($B68,QD!$B$9:$L$316,10,0)</f>
        <v>838</v>
      </c>
      <c r="W68" s="776">
        <v>837.5</v>
      </c>
      <c r="X68" s="776">
        <v>50</v>
      </c>
      <c r="Y68" s="1116"/>
      <c r="Z68" s="776">
        <f t="shared" si="5"/>
        <v>838</v>
      </c>
      <c r="AA68" s="775">
        <f t="shared" si="43"/>
        <v>1863</v>
      </c>
      <c r="AB68" s="775">
        <f t="shared" si="44"/>
        <v>838</v>
      </c>
      <c r="AC68" s="775">
        <f t="shared" si="45"/>
        <v>1863</v>
      </c>
      <c r="AD68" s="775">
        <f t="shared" si="46"/>
        <v>2625</v>
      </c>
      <c r="AE68" s="775">
        <f t="shared" si="47"/>
        <v>837</v>
      </c>
      <c r="AF68" s="1116"/>
      <c r="AG68" s="776"/>
      <c r="AH68" s="1526" t="s">
        <v>783</v>
      </c>
      <c r="AK68" s="747" t="s">
        <v>1758</v>
      </c>
      <c r="AL68" s="747"/>
      <c r="AM68" s="746"/>
      <c r="AN68" s="745" t="s">
        <v>2087</v>
      </c>
    </row>
    <row r="69" spans="1:40" ht="30" customHeight="1">
      <c r="A69" s="777">
        <v>40</v>
      </c>
      <c r="B69" s="933" t="s">
        <v>237</v>
      </c>
      <c r="C69" s="933"/>
      <c r="D69" s="933"/>
      <c r="E69" s="1115" t="s">
        <v>348</v>
      </c>
      <c r="F69" s="780" t="s">
        <v>387</v>
      </c>
      <c r="G69" s="778" t="s">
        <v>46</v>
      </c>
      <c r="H69" s="358">
        <v>2017</v>
      </c>
      <c r="I69" s="358"/>
      <c r="J69" s="358">
        <v>2019</v>
      </c>
      <c r="K69" s="358"/>
      <c r="L69" s="1525" t="s">
        <v>417</v>
      </c>
      <c r="M69" s="224" t="s">
        <v>238</v>
      </c>
      <c r="N69" s="1115">
        <v>2488</v>
      </c>
      <c r="O69" s="1115"/>
      <c r="P69" s="1115">
        <v>2488</v>
      </c>
      <c r="Q69" s="1125">
        <v>725</v>
      </c>
      <c r="R69" s="1125"/>
      <c r="S69" s="1125">
        <v>725</v>
      </c>
      <c r="T69" s="1115">
        <v>2164</v>
      </c>
      <c r="U69" s="1115">
        <v>1514</v>
      </c>
      <c r="V69" s="776">
        <f>VLOOKUP($B69,QD!$B$9:$L$316,10,0)</f>
        <v>1514</v>
      </c>
      <c r="W69" s="776">
        <v>1514</v>
      </c>
      <c r="X69" s="776">
        <v>100</v>
      </c>
      <c r="Y69" s="1116"/>
      <c r="Z69" s="776">
        <f t="shared" si="5"/>
        <v>1514</v>
      </c>
      <c r="AA69" s="775">
        <f t="shared" si="43"/>
        <v>2239</v>
      </c>
      <c r="AB69" s="775">
        <f t="shared" si="44"/>
        <v>1514</v>
      </c>
      <c r="AC69" s="775">
        <f t="shared" si="45"/>
        <v>2239</v>
      </c>
      <c r="AD69" s="775">
        <f t="shared" si="46"/>
        <v>2164</v>
      </c>
      <c r="AE69" s="775">
        <f t="shared" si="47"/>
        <v>0</v>
      </c>
      <c r="AF69" s="1116"/>
      <c r="AG69" s="776"/>
      <c r="AH69" s="1526" t="s">
        <v>783</v>
      </c>
      <c r="AK69" s="747"/>
      <c r="AL69" s="747"/>
      <c r="AM69" s="746"/>
    </row>
    <row r="70" spans="1:40" ht="30" customHeight="1">
      <c r="A70" s="777">
        <v>41</v>
      </c>
      <c r="B70" s="1215" t="s">
        <v>239</v>
      </c>
      <c r="C70" s="1215"/>
      <c r="D70" s="1215"/>
      <c r="E70" s="1115" t="s">
        <v>348</v>
      </c>
      <c r="F70" s="780" t="s">
        <v>387</v>
      </c>
      <c r="G70" s="1527" t="s">
        <v>44</v>
      </c>
      <c r="H70" s="358">
        <v>2017</v>
      </c>
      <c r="I70" s="358"/>
      <c r="J70" s="358">
        <v>2019</v>
      </c>
      <c r="K70" s="358"/>
      <c r="L70" s="1525" t="s">
        <v>418</v>
      </c>
      <c r="M70" s="224" t="s">
        <v>240</v>
      </c>
      <c r="N70" s="1115">
        <v>3777</v>
      </c>
      <c r="O70" s="1115"/>
      <c r="P70" s="1115">
        <v>3777</v>
      </c>
      <c r="Q70" s="1125">
        <v>1200</v>
      </c>
      <c r="R70" s="1125"/>
      <c r="S70" s="1125">
        <v>1200</v>
      </c>
      <c r="T70" s="1115">
        <v>3299</v>
      </c>
      <c r="U70" s="1115">
        <v>2199</v>
      </c>
      <c r="V70" s="776">
        <f>VLOOKUP($B70,QD!$B$9:$L$316,10,0)</f>
        <v>1100</v>
      </c>
      <c r="W70" s="776">
        <v>1099.5</v>
      </c>
      <c r="X70" s="776">
        <v>50</v>
      </c>
      <c r="Y70" s="1116"/>
      <c r="Z70" s="776">
        <f t="shared" si="5"/>
        <v>1100</v>
      </c>
      <c r="AA70" s="775">
        <f t="shared" si="43"/>
        <v>2300</v>
      </c>
      <c r="AB70" s="775">
        <f t="shared" si="44"/>
        <v>1100</v>
      </c>
      <c r="AC70" s="775">
        <f t="shared" si="45"/>
        <v>2300</v>
      </c>
      <c r="AD70" s="775">
        <f t="shared" si="46"/>
        <v>3299</v>
      </c>
      <c r="AE70" s="775">
        <f t="shared" si="47"/>
        <v>1099</v>
      </c>
      <c r="AF70" s="1116"/>
      <c r="AG70" s="776"/>
      <c r="AH70" s="1526" t="s">
        <v>783</v>
      </c>
      <c r="AK70" s="747" t="s">
        <v>1950</v>
      </c>
      <c r="AL70" s="747"/>
      <c r="AM70" s="746"/>
      <c r="AN70" s="745" t="s">
        <v>2087</v>
      </c>
    </row>
    <row r="71" spans="1:40" ht="30" customHeight="1">
      <c r="A71" s="777">
        <v>42</v>
      </c>
      <c r="B71" s="1215" t="s">
        <v>241</v>
      </c>
      <c r="C71" s="1215"/>
      <c r="D71" s="1215"/>
      <c r="E71" s="1115" t="s">
        <v>348</v>
      </c>
      <c r="F71" s="780" t="s">
        <v>387</v>
      </c>
      <c r="G71" s="1527" t="s">
        <v>44</v>
      </c>
      <c r="H71" s="358">
        <v>2017</v>
      </c>
      <c r="I71" s="358"/>
      <c r="J71" s="358">
        <v>2019</v>
      </c>
      <c r="K71" s="358"/>
      <c r="L71" s="1525" t="s">
        <v>419</v>
      </c>
      <c r="M71" s="224" t="s">
        <v>242</v>
      </c>
      <c r="N71" s="1115">
        <v>2890</v>
      </c>
      <c r="O71" s="1115"/>
      <c r="P71" s="1115">
        <v>2890</v>
      </c>
      <c r="Q71" s="1125">
        <v>805</v>
      </c>
      <c r="R71" s="1125">
        <v>805</v>
      </c>
      <c r="S71" s="1125">
        <f>Q71</f>
        <v>805</v>
      </c>
      <c r="T71" s="1115">
        <v>2526</v>
      </c>
      <c r="U71" s="1115">
        <v>1796</v>
      </c>
      <c r="V71" s="776">
        <f>VLOOKUP($B71,QD!$B$9:$L$316,10,0)</f>
        <v>898</v>
      </c>
      <c r="W71" s="776">
        <v>898</v>
      </c>
      <c r="X71" s="776">
        <v>50</v>
      </c>
      <c r="Y71" s="1116"/>
      <c r="Z71" s="776">
        <f t="shared" si="5"/>
        <v>898</v>
      </c>
      <c r="AA71" s="775">
        <f t="shared" si="43"/>
        <v>1703</v>
      </c>
      <c r="AB71" s="775">
        <f t="shared" si="44"/>
        <v>1703</v>
      </c>
      <c r="AC71" s="775">
        <f t="shared" si="45"/>
        <v>1703</v>
      </c>
      <c r="AD71" s="775">
        <f t="shared" si="46"/>
        <v>2526</v>
      </c>
      <c r="AE71" s="775">
        <f t="shared" si="47"/>
        <v>898</v>
      </c>
      <c r="AF71" s="1116"/>
      <c r="AG71" s="776"/>
      <c r="AH71" s="1526" t="s">
        <v>783</v>
      </c>
      <c r="AK71" s="747" t="s">
        <v>2017</v>
      </c>
      <c r="AL71" s="747"/>
      <c r="AM71" s="746"/>
      <c r="AN71" s="745" t="s">
        <v>2087</v>
      </c>
    </row>
    <row r="72" spans="1:40" ht="30" customHeight="1">
      <c r="A72" s="777">
        <v>43</v>
      </c>
      <c r="B72" s="1215" t="s">
        <v>243</v>
      </c>
      <c r="C72" s="1215"/>
      <c r="D72" s="1215"/>
      <c r="E72" s="1115" t="s">
        <v>348</v>
      </c>
      <c r="F72" s="780" t="s">
        <v>387</v>
      </c>
      <c r="G72" s="1299" t="s">
        <v>17</v>
      </c>
      <c r="H72" s="358">
        <v>2017</v>
      </c>
      <c r="I72" s="358"/>
      <c r="J72" s="358">
        <v>2019</v>
      </c>
      <c r="K72" s="358"/>
      <c r="L72" s="1525" t="s">
        <v>420</v>
      </c>
      <c r="M72" s="224" t="s">
        <v>244</v>
      </c>
      <c r="N72" s="1115">
        <v>2743</v>
      </c>
      <c r="O72" s="1115"/>
      <c r="P72" s="1115">
        <v>2743</v>
      </c>
      <c r="Q72" s="1125">
        <v>815</v>
      </c>
      <c r="R72" s="1125"/>
      <c r="S72" s="1125">
        <v>815</v>
      </c>
      <c r="T72" s="1115">
        <v>2394</v>
      </c>
      <c r="U72" s="1115">
        <v>1654</v>
      </c>
      <c r="V72" s="776">
        <f>VLOOKUP($B72,QD!$B$9:$L$316,10,0)</f>
        <v>1654</v>
      </c>
      <c r="W72" s="776">
        <v>1654</v>
      </c>
      <c r="X72" s="776">
        <v>100</v>
      </c>
      <c r="Y72" s="1116"/>
      <c r="Z72" s="776">
        <f t="shared" si="5"/>
        <v>1654</v>
      </c>
      <c r="AA72" s="775">
        <f t="shared" si="43"/>
        <v>2469</v>
      </c>
      <c r="AB72" s="775">
        <f t="shared" si="44"/>
        <v>1654</v>
      </c>
      <c r="AC72" s="775">
        <f t="shared" si="45"/>
        <v>2469</v>
      </c>
      <c r="AD72" s="775">
        <f t="shared" si="46"/>
        <v>2394</v>
      </c>
      <c r="AE72" s="775">
        <f t="shared" si="47"/>
        <v>0</v>
      </c>
      <c r="AF72" s="1116"/>
      <c r="AG72" s="776"/>
      <c r="AH72" s="1526" t="s">
        <v>783</v>
      </c>
      <c r="AK72" s="747" t="s">
        <v>2000</v>
      </c>
      <c r="AL72" s="747"/>
      <c r="AM72" s="746" t="s">
        <v>2081</v>
      </c>
      <c r="AN72" s="745" t="s">
        <v>2087</v>
      </c>
    </row>
    <row r="73" spans="1:40" ht="30" customHeight="1">
      <c r="A73" s="777">
        <v>44</v>
      </c>
      <c r="B73" s="933" t="s">
        <v>245</v>
      </c>
      <c r="C73" s="933"/>
      <c r="D73" s="933"/>
      <c r="E73" s="1115" t="s">
        <v>348</v>
      </c>
      <c r="F73" s="780" t="s">
        <v>387</v>
      </c>
      <c r="G73" s="778" t="s">
        <v>46</v>
      </c>
      <c r="H73" s="358">
        <v>2017</v>
      </c>
      <c r="I73" s="358"/>
      <c r="J73" s="358">
        <v>2019</v>
      </c>
      <c r="K73" s="358"/>
      <c r="L73" s="1525"/>
      <c r="M73" s="224" t="s">
        <v>246</v>
      </c>
      <c r="N73" s="1115">
        <v>5000</v>
      </c>
      <c r="O73" s="1115"/>
      <c r="P73" s="1115">
        <v>5000</v>
      </c>
      <c r="Q73" s="1125">
        <v>1370</v>
      </c>
      <c r="R73" s="1125"/>
      <c r="S73" s="1125">
        <v>1370</v>
      </c>
      <c r="T73" s="1115">
        <v>4330</v>
      </c>
      <c r="U73" s="1115">
        <v>3130</v>
      </c>
      <c r="V73" s="776">
        <f>VLOOKUP($B73,QD!$B$9:$L$316,10,0)</f>
        <v>1565</v>
      </c>
      <c r="W73" s="776">
        <v>1565</v>
      </c>
      <c r="X73" s="776">
        <v>50</v>
      </c>
      <c r="Y73" s="1116"/>
      <c r="Z73" s="776">
        <f t="shared" si="5"/>
        <v>1565</v>
      </c>
      <c r="AA73" s="775">
        <f t="shared" si="43"/>
        <v>2935</v>
      </c>
      <c r="AB73" s="775">
        <f t="shared" si="44"/>
        <v>1565</v>
      </c>
      <c r="AC73" s="775">
        <f t="shared" si="45"/>
        <v>2935</v>
      </c>
      <c r="AD73" s="775">
        <f t="shared" si="46"/>
        <v>4330</v>
      </c>
      <c r="AE73" s="775">
        <f t="shared" si="47"/>
        <v>1565</v>
      </c>
      <c r="AF73" s="1116"/>
      <c r="AG73" s="776"/>
      <c r="AH73" s="1526" t="s">
        <v>783</v>
      </c>
      <c r="AK73" s="747" t="s">
        <v>2020</v>
      </c>
      <c r="AL73" s="747"/>
      <c r="AM73" s="746"/>
      <c r="AN73" s="745" t="s">
        <v>2087</v>
      </c>
    </row>
    <row r="74" spans="1:40" ht="30" customHeight="1">
      <c r="A74" s="777">
        <v>45</v>
      </c>
      <c r="B74" s="933" t="s">
        <v>247</v>
      </c>
      <c r="C74" s="933"/>
      <c r="D74" s="933"/>
      <c r="E74" s="1115" t="s">
        <v>348</v>
      </c>
      <c r="F74" s="780" t="s">
        <v>387</v>
      </c>
      <c r="G74" s="778" t="s">
        <v>46</v>
      </c>
      <c r="H74" s="358">
        <v>2017</v>
      </c>
      <c r="I74" s="358"/>
      <c r="J74" s="358">
        <v>2019</v>
      </c>
      <c r="K74" s="358"/>
      <c r="L74" s="1525"/>
      <c r="M74" s="224" t="s">
        <v>248</v>
      </c>
      <c r="N74" s="1115">
        <v>2992</v>
      </c>
      <c r="O74" s="1115"/>
      <c r="P74" s="1115">
        <v>2992</v>
      </c>
      <c r="Q74" s="1125">
        <v>825</v>
      </c>
      <c r="R74" s="1125"/>
      <c r="S74" s="1125">
        <v>825</v>
      </c>
      <c r="T74" s="1115">
        <v>2618</v>
      </c>
      <c r="U74" s="1115">
        <v>1868</v>
      </c>
      <c r="V74" s="776">
        <f>VLOOKUP($B74,QD!$B$9:$L$316,10,0)</f>
        <v>934</v>
      </c>
      <c r="W74" s="776">
        <v>934</v>
      </c>
      <c r="X74" s="776">
        <v>50</v>
      </c>
      <c r="Y74" s="1116"/>
      <c r="Z74" s="776">
        <f t="shared" si="5"/>
        <v>934</v>
      </c>
      <c r="AA74" s="775">
        <f t="shared" si="43"/>
        <v>1759</v>
      </c>
      <c r="AB74" s="775">
        <f t="shared" si="44"/>
        <v>934</v>
      </c>
      <c r="AC74" s="775">
        <f t="shared" si="45"/>
        <v>1759</v>
      </c>
      <c r="AD74" s="775">
        <f t="shared" si="46"/>
        <v>2618</v>
      </c>
      <c r="AE74" s="775">
        <f t="shared" si="47"/>
        <v>934</v>
      </c>
      <c r="AF74" s="1116"/>
      <c r="AG74" s="776"/>
      <c r="AH74" s="1526" t="s">
        <v>783</v>
      </c>
      <c r="AK74" s="747" t="s">
        <v>1993</v>
      </c>
      <c r="AL74" s="747"/>
      <c r="AM74" s="746"/>
      <c r="AN74" s="745" t="s">
        <v>2087</v>
      </c>
    </row>
    <row r="75" spans="1:40" ht="30" customHeight="1">
      <c r="A75" s="777">
        <v>46</v>
      </c>
      <c r="B75" s="1215" t="s">
        <v>249</v>
      </c>
      <c r="C75" s="1215"/>
      <c r="D75" s="1215"/>
      <c r="E75" s="1115" t="s">
        <v>348</v>
      </c>
      <c r="F75" s="780" t="s">
        <v>387</v>
      </c>
      <c r="G75" s="778" t="s">
        <v>46</v>
      </c>
      <c r="H75" s="358">
        <v>2017</v>
      </c>
      <c r="I75" s="358"/>
      <c r="J75" s="358">
        <v>2019</v>
      </c>
      <c r="K75" s="358"/>
      <c r="L75" s="1525" t="s">
        <v>421</v>
      </c>
      <c r="M75" s="224" t="s">
        <v>250</v>
      </c>
      <c r="N75" s="1115">
        <v>2952</v>
      </c>
      <c r="O75" s="1115"/>
      <c r="P75" s="1115">
        <v>2952</v>
      </c>
      <c r="Q75" s="1125">
        <v>825</v>
      </c>
      <c r="R75" s="1125"/>
      <c r="S75" s="1125">
        <v>825</v>
      </c>
      <c r="T75" s="1115">
        <v>2582</v>
      </c>
      <c r="U75" s="1115">
        <v>1832</v>
      </c>
      <c r="V75" s="776">
        <f>VLOOKUP($B75,QD!$B$9:$L$316,10,0)</f>
        <v>916</v>
      </c>
      <c r="W75" s="776">
        <v>916</v>
      </c>
      <c r="X75" s="776">
        <v>50</v>
      </c>
      <c r="Y75" s="1116"/>
      <c r="Z75" s="776">
        <f t="shared" si="5"/>
        <v>916</v>
      </c>
      <c r="AA75" s="775">
        <f t="shared" si="43"/>
        <v>1741</v>
      </c>
      <c r="AB75" s="775">
        <f t="shared" si="44"/>
        <v>916</v>
      </c>
      <c r="AC75" s="775">
        <f t="shared" si="45"/>
        <v>1741</v>
      </c>
      <c r="AD75" s="775">
        <f t="shared" si="46"/>
        <v>2582</v>
      </c>
      <c r="AE75" s="775">
        <f t="shared" si="47"/>
        <v>916</v>
      </c>
      <c r="AF75" s="1116"/>
      <c r="AG75" s="776"/>
      <c r="AH75" s="1526" t="s">
        <v>783</v>
      </c>
      <c r="AK75" s="747" t="s">
        <v>2018</v>
      </c>
      <c r="AL75" s="747"/>
      <c r="AM75" s="746"/>
      <c r="AN75" s="745" t="s">
        <v>2087</v>
      </c>
    </row>
    <row r="76" spans="1:40" ht="30" customHeight="1">
      <c r="A76" s="777">
        <v>47</v>
      </c>
      <c r="B76" s="933" t="s">
        <v>251</v>
      </c>
      <c r="C76" s="933"/>
      <c r="D76" s="933"/>
      <c r="E76" s="1115" t="s">
        <v>348</v>
      </c>
      <c r="F76" s="780" t="s">
        <v>387</v>
      </c>
      <c r="G76" s="778" t="s">
        <v>44</v>
      </c>
      <c r="H76" s="358">
        <v>2017</v>
      </c>
      <c r="I76" s="358"/>
      <c r="J76" s="358">
        <v>2019</v>
      </c>
      <c r="K76" s="358"/>
      <c r="L76" s="358"/>
      <c r="M76" s="219" t="s">
        <v>252</v>
      </c>
      <c r="N76" s="1115">
        <v>2916</v>
      </c>
      <c r="O76" s="1115"/>
      <c r="P76" s="1115">
        <v>2916</v>
      </c>
      <c r="Q76" s="1125">
        <v>805</v>
      </c>
      <c r="R76" s="1125"/>
      <c r="S76" s="1125">
        <v>805</v>
      </c>
      <c r="T76" s="1115">
        <v>2549</v>
      </c>
      <c r="U76" s="1115">
        <v>1819</v>
      </c>
      <c r="V76" s="776">
        <f>VLOOKUP($B76,QD!$B$9:$L$316,10,0)</f>
        <v>910</v>
      </c>
      <c r="W76" s="776">
        <v>909.5</v>
      </c>
      <c r="X76" s="776">
        <v>50</v>
      </c>
      <c r="Y76" s="1116"/>
      <c r="Z76" s="776">
        <f t="shared" si="5"/>
        <v>910</v>
      </c>
      <c r="AA76" s="775">
        <f t="shared" si="43"/>
        <v>1715</v>
      </c>
      <c r="AB76" s="775">
        <f t="shared" si="44"/>
        <v>910</v>
      </c>
      <c r="AC76" s="775">
        <f t="shared" si="45"/>
        <v>1715</v>
      </c>
      <c r="AD76" s="775">
        <f t="shared" si="46"/>
        <v>2549</v>
      </c>
      <c r="AE76" s="775">
        <f t="shared" si="47"/>
        <v>909</v>
      </c>
      <c r="AF76" s="1116"/>
      <c r="AG76" s="776"/>
      <c r="AH76" s="1526" t="s">
        <v>783</v>
      </c>
      <c r="AK76" s="747" t="s">
        <v>1950</v>
      </c>
      <c r="AL76" s="747"/>
      <c r="AM76" s="746"/>
      <c r="AN76" s="745" t="s">
        <v>2087</v>
      </c>
    </row>
    <row r="77" spans="1:40" ht="30" customHeight="1">
      <c r="A77" s="777">
        <v>48</v>
      </c>
      <c r="B77" s="1215" t="s">
        <v>253</v>
      </c>
      <c r="C77" s="1215"/>
      <c r="D77" s="1215"/>
      <c r="E77" s="1115" t="s">
        <v>348</v>
      </c>
      <c r="F77" s="780" t="s">
        <v>387</v>
      </c>
      <c r="G77" s="1215" t="s">
        <v>10</v>
      </c>
      <c r="H77" s="358">
        <v>2017</v>
      </c>
      <c r="I77" s="358"/>
      <c r="J77" s="358">
        <v>2019</v>
      </c>
      <c r="K77" s="358"/>
      <c r="L77" s="358"/>
      <c r="M77" s="219" t="s">
        <v>254</v>
      </c>
      <c r="N77" s="1115">
        <v>3891</v>
      </c>
      <c r="O77" s="1115"/>
      <c r="P77" s="1115">
        <v>3891</v>
      </c>
      <c r="Q77" s="1125">
        <v>1050</v>
      </c>
      <c r="R77" s="1125"/>
      <c r="S77" s="1125">
        <v>1050</v>
      </c>
      <c r="T77" s="1115">
        <v>3402</v>
      </c>
      <c r="U77" s="1115">
        <v>2452</v>
      </c>
      <c r="V77" s="776">
        <f>VLOOKUP($B77,QD!$B$9:$L$316,10,0)</f>
        <v>1226</v>
      </c>
      <c r="W77" s="776">
        <v>1226</v>
      </c>
      <c r="X77" s="776">
        <v>50</v>
      </c>
      <c r="Y77" s="1116"/>
      <c r="Z77" s="776">
        <f t="shared" si="5"/>
        <v>1226</v>
      </c>
      <c r="AA77" s="775">
        <f t="shared" si="43"/>
        <v>2276</v>
      </c>
      <c r="AB77" s="775">
        <f t="shared" si="44"/>
        <v>1226</v>
      </c>
      <c r="AC77" s="775">
        <f t="shared" si="45"/>
        <v>2276</v>
      </c>
      <c r="AD77" s="775">
        <f t="shared" si="46"/>
        <v>3402</v>
      </c>
      <c r="AE77" s="775">
        <f t="shared" si="47"/>
        <v>1226</v>
      </c>
      <c r="AF77" s="1116"/>
      <c r="AG77" s="776"/>
      <c r="AH77" s="1526" t="s">
        <v>783</v>
      </c>
      <c r="AK77" s="747" t="s">
        <v>1979</v>
      </c>
      <c r="AL77" s="747"/>
      <c r="AM77" s="746"/>
      <c r="AN77" s="745" t="s">
        <v>2087</v>
      </c>
    </row>
    <row r="78" spans="1:40" ht="30" customHeight="1">
      <c r="A78" s="777">
        <v>50</v>
      </c>
      <c r="B78" s="1215" t="s">
        <v>255</v>
      </c>
      <c r="C78" s="1215"/>
      <c r="D78" s="1215"/>
      <c r="E78" s="1115" t="s">
        <v>348</v>
      </c>
      <c r="F78" s="780" t="s">
        <v>387</v>
      </c>
      <c r="G78" s="778" t="s">
        <v>46</v>
      </c>
      <c r="H78" s="358">
        <v>2017</v>
      </c>
      <c r="I78" s="358"/>
      <c r="J78" s="358">
        <v>2019</v>
      </c>
      <c r="K78" s="358"/>
      <c r="L78" s="1525" t="s">
        <v>422</v>
      </c>
      <c r="M78" s="219" t="s">
        <v>256</v>
      </c>
      <c r="N78" s="1115">
        <v>3637</v>
      </c>
      <c r="O78" s="1115"/>
      <c r="P78" s="1115">
        <v>3637</v>
      </c>
      <c r="Q78" s="1125">
        <v>995</v>
      </c>
      <c r="R78" s="1125"/>
      <c r="S78" s="1125">
        <v>995</v>
      </c>
      <c r="T78" s="1115">
        <v>3198</v>
      </c>
      <c r="U78" s="1115">
        <v>2278</v>
      </c>
      <c r="V78" s="776">
        <f>VLOOKUP($B78,QD!$B$9:$L$316,10,0)</f>
        <v>1139</v>
      </c>
      <c r="W78" s="776">
        <v>1139</v>
      </c>
      <c r="X78" s="776">
        <v>50</v>
      </c>
      <c r="Y78" s="1116"/>
      <c r="Z78" s="776">
        <f t="shared" si="5"/>
        <v>1139</v>
      </c>
      <c r="AA78" s="775">
        <f t="shared" si="43"/>
        <v>2134</v>
      </c>
      <c r="AB78" s="775">
        <f t="shared" si="44"/>
        <v>1139</v>
      </c>
      <c r="AC78" s="775">
        <f t="shared" si="45"/>
        <v>2134</v>
      </c>
      <c r="AD78" s="775">
        <f t="shared" si="46"/>
        <v>3198</v>
      </c>
      <c r="AE78" s="775">
        <f t="shared" si="47"/>
        <v>1139</v>
      </c>
      <c r="AF78" s="1116"/>
      <c r="AG78" s="776"/>
      <c r="AH78" s="1526" t="s">
        <v>783</v>
      </c>
      <c r="AK78" s="747" t="s">
        <v>2019</v>
      </c>
      <c r="AL78" s="747"/>
      <c r="AM78" s="746"/>
      <c r="AN78" s="745" t="s">
        <v>2087</v>
      </c>
    </row>
    <row r="79" spans="1:40" ht="30" customHeight="1">
      <c r="A79" s="777">
        <v>51</v>
      </c>
      <c r="B79" s="1215" t="s">
        <v>257</v>
      </c>
      <c r="C79" s="1215"/>
      <c r="D79" s="1215"/>
      <c r="E79" s="1115" t="s">
        <v>348</v>
      </c>
      <c r="F79" s="780" t="s">
        <v>387</v>
      </c>
      <c r="G79" s="1236" t="s">
        <v>9</v>
      </c>
      <c r="H79" s="358">
        <v>2017</v>
      </c>
      <c r="I79" s="358"/>
      <c r="J79" s="358">
        <v>2019</v>
      </c>
      <c r="K79" s="358"/>
      <c r="L79" s="1525"/>
      <c r="M79" s="219" t="s">
        <v>258</v>
      </c>
      <c r="N79" s="1115">
        <v>3523</v>
      </c>
      <c r="O79" s="1115"/>
      <c r="P79" s="1115">
        <v>3523</v>
      </c>
      <c r="Q79" s="1125">
        <v>1000</v>
      </c>
      <c r="R79" s="1125"/>
      <c r="S79" s="1125">
        <v>1000</v>
      </c>
      <c r="T79" s="1115">
        <v>3071</v>
      </c>
      <c r="U79" s="1115">
        <v>2171</v>
      </c>
      <c r="V79" s="776">
        <f>VLOOKUP($B79,QD!$B$9:$L$316,10,0)</f>
        <v>1086</v>
      </c>
      <c r="W79" s="776">
        <v>1085.5</v>
      </c>
      <c r="X79" s="776">
        <v>50</v>
      </c>
      <c r="Y79" s="1116"/>
      <c r="Z79" s="776">
        <f t="shared" ref="Z79:Z92" si="48">V79+Y79</f>
        <v>1086</v>
      </c>
      <c r="AA79" s="775">
        <f t="shared" si="43"/>
        <v>2086</v>
      </c>
      <c r="AB79" s="775">
        <f t="shared" si="44"/>
        <v>1086</v>
      </c>
      <c r="AC79" s="775">
        <f t="shared" si="45"/>
        <v>2086</v>
      </c>
      <c r="AD79" s="775">
        <f t="shared" si="46"/>
        <v>3071</v>
      </c>
      <c r="AE79" s="775">
        <f t="shared" si="47"/>
        <v>1085</v>
      </c>
      <c r="AF79" s="1116"/>
      <c r="AG79" s="776"/>
      <c r="AH79" s="1526" t="s">
        <v>783</v>
      </c>
      <c r="AK79" s="747" t="s">
        <v>2021</v>
      </c>
      <c r="AL79" s="747"/>
      <c r="AM79" s="746"/>
    </row>
    <row r="80" spans="1:40" ht="30" customHeight="1">
      <c r="A80" s="777">
        <v>52</v>
      </c>
      <c r="B80" s="1215" t="s">
        <v>259</v>
      </c>
      <c r="C80" s="1215"/>
      <c r="D80" s="1215"/>
      <c r="E80" s="1115" t="s">
        <v>348</v>
      </c>
      <c r="F80" s="780" t="s">
        <v>387</v>
      </c>
      <c r="G80" s="1215" t="s">
        <v>49</v>
      </c>
      <c r="H80" s="358">
        <v>2017</v>
      </c>
      <c r="I80" s="358"/>
      <c r="J80" s="358">
        <v>2019</v>
      </c>
      <c r="K80" s="358"/>
      <c r="L80" s="1525" t="s">
        <v>423</v>
      </c>
      <c r="M80" s="224" t="s">
        <v>490</v>
      </c>
      <c r="N80" s="1115">
        <v>3200</v>
      </c>
      <c r="O80" s="1115"/>
      <c r="P80" s="1115">
        <v>3200</v>
      </c>
      <c r="Q80" s="1125">
        <v>885</v>
      </c>
      <c r="R80" s="1125"/>
      <c r="S80" s="1125">
        <v>885</v>
      </c>
      <c r="T80" s="1115">
        <v>2805</v>
      </c>
      <c r="U80" s="1115">
        <v>1995</v>
      </c>
      <c r="V80" s="776">
        <f>VLOOKUP($B80,QD!$B$9:$L$316,10,0)</f>
        <v>998</v>
      </c>
      <c r="W80" s="776">
        <v>997.5</v>
      </c>
      <c r="X80" s="776">
        <v>50</v>
      </c>
      <c r="Y80" s="1116"/>
      <c r="Z80" s="776">
        <f t="shared" si="48"/>
        <v>998</v>
      </c>
      <c r="AA80" s="775">
        <f t="shared" si="43"/>
        <v>1883</v>
      </c>
      <c r="AB80" s="775">
        <f t="shared" si="44"/>
        <v>998</v>
      </c>
      <c r="AC80" s="775">
        <f t="shared" si="45"/>
        <v>1883</v>
      </c>
      <c r="AD80" s="775">
        <f t="shared" si="46"/>
        <v>2805</v>
      </c>
      <c r="AE80" s="775">
        <f t="shared" si="47"/>
        <v>997</v>
      </c>
      <c r="AF80" s="1116"/>
      <c r="AG80" s="776"/>
      <c r="AH80" s="1526" t="s">
        <v>783</v>
      </c>
      <c r="AK80" s="747" t="s">
        <v>2022</v>
      </c>
      <c r="AL80" s="747"/>
      <c r="AM80" s="746"/>
      <c r="AN80" s="745" t="s">
        <v>2087</v>
      </c>
    </row>
    <row r="81" spans="1:40" ht="30" customHeight="1">
      <c r="A81" s="777">
        <v>53</v>
      </c>
      <c r="B81" s="1215" t="s">
        <v>260</v>
      </c>
      <c r="C81" s="1215"/>
      <c r="D81" s="1215"/>
      <c r="E81" s="1115" t="s">
        <v>348</v>
      </c>
      <c r="F81" s="780" t="s">
        <v>387</v>
      </c>
      <c r="G81" s="1215" t="s">
        <v>10</v>
      </c>
      <c r="H81" s="358">
        <v>2017</v>
      </c>
      <c r="I81" s="358"/>
      <c r="J81" s="358">
        <v>2019</v>
      </c>
      <c r="K81" s="358"/>
      <c r="L81" s="358"/>
      <c r="M81" s="224" t="s">
        <v>488</v>
      </c>
      <c r="N81" s="1115">
        <v>3710</v>
      </c>
      <c r="O81" s="1115"/>
      <c r="P81" s="1115">
        <v>3710</v>
      </c>
      <c r="Q81" s="1125">
        <v>1050</v>
      </c>
      <c r="R81" s="1125"/>
      <c r="S81" s="1125">
        <v>1050</v>
      </c>
      <c r="T81" s="1115">
        <v>3239</v>
      </c>
      <c r="U81" s="1115">
        <v>2289</v>
      </c>
      <c r="V81" s="776">
        <f>VLOOKUP($B81,QD!$B$9:$L$316,10,0)</f>
        <v>1144</v>
      </c>
      <c r="W81" s="776">
        <v>1144.5</v>
      </c>
      <c r="X81" s="776">
        <v>50</v>
      </c>
      <c r="Y81" s="1116"/>
      <c r="Z81" s="776">
        <f t="shared" si="48"/>
        <v>1144</v>
      </c>
      <c r="AA81" s="775">
        <f t="shared" si="43"/>
        <v>2194</v>
      </c>
      <c r="AB81" s="775">
        <f t="shared" si="44"/>
        <v>1144</v>
      </c>
      <c r="AC81" s="775">
        <f t="shared" si="45"/>
        <v>2194</v>
      </c>
      <c r="AD81" s="775">
        <f t="shared" si="46"/>
        <v>3239</v>
      </c>
      <c r="AE81" s="775">
        <f t="shared" si="47"/>
        <v>1145</v>
      </c>
      <c r="AF81" s="1116"/>
      <c r="AG81" s="776"/>
      <c r="AH81" s="1526" t="s">
        <v>783</v>
      </c>
      <c r="AK81" s="747" t="s">
        <v>2024</v>
      </c>
      <c r="AL81" s="747"/>
      <c r="AM81" s="746"/>
    </row>
    <row r="82" spans="1:40" ht="30" customHeight="1">
      <c r="A82" s="777">
        <v>54</v>
      </c>
      <c r="B82" s="1215" t="s">
        <v>869</v>
      </c>
      <c r="C82" s="1215"/>
      <c r="D82" s="1215"/>
      <c r="E82" s="1115" t="s">
        <v>348</v>
      </c>
      <c r="F82" s="780" t="s">
        <v>387</v>
      </c>
      <c r="G82" s="1236" t="s">
        <v>33</v>
      </c>
      <c r="H82" s="358">
        <v>2017</v>
      </c>
      <c r="I82" s="358"/>
      <c r="J82" s="358">
        <v>2019</v>
      </c>
      <c r="K82" s="358"/>
      <c r="L82" s="358"/>
      <c r="M82" s="224" t="s">
        <v>489</v>
      </c>
      <c r="N82" s="1115">
        <v>3351</v>
      </c>
      <c r="O82" s="1115"/>
      <c r="P82" s="1115">
        <v>3351</v>
      </c>
      <c r="Q82" s="1125">
        <v>835</v>
      </c>
      <c r="R82" s="1125"/>
      <c r="S82" s="1125">
        <v>835</v>
      </c>
      <c r="T82" s="1115">
        <v>2941</v>
      </c>
      <c r="U82" s="1115">
        <v>2181</v>
      </c>
      <c r="V82" s="776">
        <f>VLOOKUP($B82,QD!$B$9:$L$316,10,0)</f>
        <v>1091</v>
      </c>
      <c r="W82" s="776">
        <v>1091</v>
      </c>
      <c r="X82" s="776">
        <v>50</v>
      </c>
      <c r="Y82" s="1116"/>
      <c r="Z82" s="776">
        <f t="shared" si="48"/>
        <v>1091</v>
      </c>
      <c r="AA82" s="775">
        <f t="shared" si="43"/>
        <v>1926</v>
      </c>
      <c r="AB82" s="775">
        <f t="shared" si="44"/>
        <v>1091</v>
      </c>
      <c r="AC82" s="775">
        <f t="shared" si="45"/>
        <v>1926</v>
      </c>
      <c r="AD82" s="775">
        <f t="shared" si="46"/>
        <v>2941</v>
      </c>
      <c r="AE82" s="775">
        <f t="shared" si="47"/>
        <v>1090</v>
      </c>
      <c r="AF82" s="1116"/>
      <c r="AG82" s="776"/>
      <c r="AH82" s="1526" t="s">
        <v>783</v>
      </c>
      <c r="AI82" s="745" t="s">
        <v>1090</v>
      </c>
      <c r="AK82" s="747" t="s">
        <v>2023</v>
      </c>
      <c r="AL82" s="747"/>
      <c r="AM82" s="746"/>
      <c r="AN82" s="745" t="s">
        <v>2087</v>
      </c>
    </row>
    <row r="83" spans="1:40" ht="30" customHeight="1">
      <c r="A83" s="777">
        <v>55</v>
      </c>
      <c r="B83" s="1215" t="s">
        <v>261</v>
      </c>
      <c r="C83" s="1215"/>
      <c r="D83" s="1215"/>
      <c r="E83" s="1115" t="s">
        <v>348</v>
      </c>
      <c r="F83" s="780" t="s">
        <v>387</v>
      </c>
      <c r="G83" s="778" t="s">
        <v>46</v>
      </c>
      <c r="H83" s="358">
        <v>2017</v>
      </c>
      <c r="I83" s="358"/>
      <c r="J83" s="358">
        <v>2019</v>
      </c>
      <c r="K83" s="358"/>
      <c r="L83" s="358"/>
      <c r="M83" s="224" t="s">
        <v>262</v>
      </c>
      <c r="N83" s="1115">
        <v>3989</v>
      </c>
      <c r="O83" s="1115"/>
      <c r="P83" s="1115">
        <v>3989</v>
      </c>
      <c r="Q83" s="1115">
        <v>1000</v>
      </c>
      <c r="R83" s="1115"/>
      <c r="S83" s="1115">
        <v>1000</v>
      </c>
      <c r="T83" s="1115">
        <v>3490</v>
      </c>
      <c r="U83" s="1115">
        <v>2490</v>
      </c>
      <c r="V83" s="776">
        <f>VLOOKUP($B83,QD!$B$9:$L$316,10,0)</f>
        <v>1245</v>
      </c>
      <c r="W83" s="776">
        <v>1245</v>
      </c>
      <c r="X83" s="776">
        <v>50</v>
      </c>
      <c r="Y83" s="1116"/>
      <c r="Z83" s="776">
        <f t="shared" si="48"/>
        <v>1245</v>
      </c>
      <c r="AA83" s="775">
        <f t="shared" si="43"/>
        <v>2245</v>
      </c>
      <c r="AB83" s="775">
        <f t="shared" si="44"/>
        <v>1245</v>
      </c>
      <c r="AC83" s="775">
        <f t="shared" si="45"/>
        <v>2245</v>
      </c>
      <c r="AD83" s="775">
        <f t="shared" si="46"/>
        <v>3490</v>
      </c>
      <c r="AE83" s="775">
        <f t="shared" si="47"/>
        <v>1245</v>
      </c>
      <c r="AF83" s="1116"/>
      <c r="AG83" s="776"/>
      <c r="AH83" s="1526"/>
      <c r="AK83" s="747" t="s">
        <v>1964</v>
      </c>
      <c r="AL83" s="747"/>
      <c r="AM83" s="746"/>
      <c r="AN83" s="745" t="s">
        <v>2087</v>
      </c>
    </row>
    <row r="84" spans="1:40" ht="30" customHeight="1">
      <c r="A84" s="777">
        <v>56</v>
      </c>
      <c r="B84" s="1215" t="s">
        <v>263</v>
      </c>
      <c r="C84" s="1215"/>
      <c r="D84" s="1215"/>
      <c r="E84" s="1115" t="s">
        <v>348</v>
      </c>
      <c r="F84" s="780" t="s">
        <v>387</v>
      </c>
      <c r="G84" s="933" t="s">
        <v>26</v>
      </c>
      <c r="H84" s="358">
        <v>2017</v>
      </c>
      <c r="I84" s="358"/>
      <c r="J84" s="358">
        <v>2019</v>
      </c>
      <c r="K84" s="358"/>
      <c r="L84" s="358"/>
      <c r="M84" s="185" t="s">
        <v>264</v>
      </c>
      <c r="N84" s="1115">
        <v>3990</v>
      </c>
      <c r="O84" s="1115"/>
      <c r="P84" s="1115">
        <v>3990</v>
      </c>
      <c r="Q84" s="1115">
        <v>1025</v>
      </c>
      <c r="R84" s="1115"/>
      <c r="S84" s="1115">
        <v>1025</v>
      </c>
      <c r="T84" s="1115">
        <v>3591</v>
      </c>
      <c r="U84" s="1115">
        <v>2566</v>
      </c>
      <c r="V84" s="776">
        <f>VLOOKUP($B84,QD!$B$9:$L$316,10,0)</f>
        <v>1283</v>
      </c>
      <c r="W84" s="776">
        <v>1283</v>
      </c>
      <c r="X84" s="776">
        <v>50</v>
      </c>
      <c r="Y84" s="1116"/>
      <c r="Z84" s="776">
        <f t="shared" si="48"/>
        <v>1283</v>
      </c>
      <c r="AA84" s="775">
        <f t="shared" si="43"/>
        <v>2308</v>
      </c>
      <c r="AB84" s="775">
        <f t="shared" si="44"/>
        <v>1283</v>
      </c>
      <c r="AC84" s="775">
        <f t="shared" si="45"/>
        <v>2308</v>
      </c>
      <c r="AD84" s="775">
        <f t="shared" si="46"/>
        <v>3591</v>
      </c>
      <c r="AE84" s="775">
        <f t="shared" si="47"/>
        <v>1283</v>
      </c>
      <c r="AF84" s="1116"/>
      <c r="AG84" s="776"/>
      <c r="AH84" s="1526"/>
      <c r="AK84" s="747" t="s">
        <v>2025</v>
      </c>
      <c r="AL84" s="747"/>
      <c r="AM84" s="746"/>
    </row>
    <row r="85" spans="1:40" ht="30" customHeight="1">
      <c r="A85" s="777">
        <v>57</v>
      </c>
      <c r="B85" s="1215" t="s">
        <v>265</v>
      </c>
      <c r="C85" s="1215"/>
      <c r="D85" s="1215"/>
      <c r="E85" s="1115" t="s">
        <v>348</v>
      </c>
      <c r="F85" s="780" t="s">
        <v>387</v>
      </c>
      <c r="G85" s="1236" t="s">
        <v>33</v>
      </c>
      <c r="H85" s="358">
        <v>2017</v>
      </c>
      <c r="I85" s="358"/>
      <c r="J85" s="358">
        <v>2019</v>
      </c>
      <c r="K85" s="358"/>
      <c r="L85" s="358"/>
      <c r="M85" s="185" t="s">
        <v>266</v>
      </c>
      <c r="N85" s="1115">
        <v>2894.7</v>
      </c>
      <c r="O85" s="1115"/>
      <c r="P85" s="1115">
        <v>2894.7</v>
      </c>
      <c r="Q85" s="1115">
        <v>900</v>
      </c>
      <c r="R85" s="1115"/>
      <c r="S85" s="1115">
        <v>900</v>
      </c>
      <c r="T85" s="1115">
        <v>2605</v>
      </c>
      <c r="U85" s="1115">
        <v>1705</v>
      </c>
      <c r="V85" s="776">
        <f>VLOOKUP($B85,QD!$B$9:$L$316,10,0)</f>
        <v>853</v>
      </c>
      <c r="W85" s="776">
        <v>852.5</v>
      </c>
      <c r="X85" s="776">
        <v>50</v>
      </c>
      <c r="Y85" s="1116"/>
      <c r="Z85" s="776">
        <f t="shared" si="48"/>
        <v>853</v>
      </c>
      <c r="AA85" s="775">
        <f t="shared" si="43"/>
        <v>1753</v>
      </c>
      <c r="AB85" s="775">
        <f t="shared" si="44"/>
        <v>853</v>
      </c>
      <c r="AC85" s="775">
        <f t="shared" si="45"/>
        <v>1753</v>
      </c>
      <c r="AD85" s="775">
        <f t="shared" si="46"/>
        <v>2605</v>
      </c>
      <c r="AE85" s="775">
        <f t="shared" si="47"/>
        <v>852</v>
      </c>
      <c r="AF85" s="1116"/>
      <c r="AG85" s="776"/>
      <c r="AH85" s="1526"/>
      <c r="AK85" s="747" t="s">
        <v>2026</v>
      </c>
      <c r="AL85" s="747"/>
      <c r="AM85" s="746"/>
      <c r="AN85" s="745" t="s">
        <v>2087</v>
      </c>
    </row>
    <row r="86" spans="1:40" ht="30" customHeight="1">
      <c r="A86" s="777">
        <v>58</v>
      </c>
      <c r="B86" s="1215" t="s">
        <v>267</v>
      </c>
      <c r="C86" s="1215"/>
      <c r="D86" s="1215"/>
      <c r="E86" s="1115" t="s">
        <v>348</v>
      </c>
      <c r="F86" s="780" t="s">
        <v>387</v>
      </c>
      <c r="G86" s="933" t="s">
        <v>44</v>
      </c>
      <c r="H86" s="358">
        <v>2017</v>
      </c>
      <c r="I86" s="358"/>
      <c r="J86" s="358">
        <v>2019</v>
      </c>
      <c r="K86" s="358"/>
      <c r="L86" s="358"/>
      <c r="M86" s="185" t="s">
        <v>268</v>
      </c>
      <c r="N86" s="1115">
        <v>4588</v>
      </c>
      <c r="O86" s="1115"/>
      <c r="P86" s="1115">
        <v>4588</v>
      </c>
      <c r="Q86" s="1115">
        <v>1200</v>
      </c>
      <c r="R86" s="1115"/>
      <c r="S86" s="1115">
        <v>1200</v>
      </c>
      <c r="T86" s="1115">
        <v>4129</v>
      </c>
      <c r="U86" s="1115">
        <v>2929</v>
      </c>
      <c r="V86" s="776">
        <f>VLOOKUP($B86,QD!$B$9:$L$316,10,0)</f>
        <v>1464</v>
      </c>
      <c r="W86" s="776">
        <v>1464.5</v>
      </c>
      <c r="X86" s="776">
        <v>50</v>
      </c>
      <c r="Y86" s="1116"/>
      <c r="Z86" s="776">
        <f t="shared" si="48"/>
        <v>1464</v>
      </c>
      <c r="AA86" s="775">
        <f t="shared" si="43"/>
        <v>2664</v>
      </c>
      <c r="AB86" s="775">
        <f t="shared" si="44"/>
        <v>1464</v>
      </c>
      <c r="AC86" s="775">
        <f t="shared" si="45"/>
        <v>2664</v>
      </c>
      <c r="AD86" s="775">
        <f t="shared" si="46"/>
        <v>4129</v>
      </c>
      <c r="AE86" s="775">
        <f t="shared" si="47"/>
        <v>1465</v>
      </c>
      <c r="AF86" s="1116"/>
      <c r="AG86" s="776"/>
      <c r="AH86" s="1526"/>
      <c r="AK86" s="747" t="s">
        <v>1962</v>
      </c>
      <c r="AL86" s="747"/>
      <c r="AM86" s="746" t="s">
        <v>2081</v>
      </c>
      <c r="AN86" s="745" t="s">
        <v>2087</v>
      </c>
    </row>
    <row r="87" spans="1:40" ht="30" customHeight="1">
      <c r="A87" s="777">
        <v>59</v>
      </c>
      <c r="B87" s="1215" t="s">
        <v>269</v>
      </c>
      <c r="C87" s="1532"/>
      <c r="D87" s="1215"/>
      <c r="E87" s="1115" t="s">
        <v>348</v>
      </c>
      <c r="F87" s="780" t="s">
        <v>387</v>
      </c>
      <c r="G87" s="778" t="s">
        <v>49</v>
      </c>
      <c r="H87" s="358">
        <v>2017</v>
      </c>
      <c r="I87" s="358"/>
      <c r="J87" s="358">
        <v>2019</v>
      </c>
      <c r="K87" s="358"/>
      <c r="L87" s="1533" t="s">
        <v>424</v>
      </c>
      <c r="M87" s="224" t="s">
        <v>270</v>
      </c>
      <c r="N87" s="1115">
        <v>5289</v>
      </c>
      <c r="O87" s="1115"/>
      <c r="P87" s="1115">
        <v>5289</v>
      </c>
      <c r="Q87" s="1115">
        <v>1470</v>
      </c>
      <c r="R87" s="1115"/>
      <c r="S87" s="1115">
        <v>1470</v>
      </c>
      <c r="T87" s="1115">
        <v>4640</v>
      </c>
      <c r="U87" s="1115">
        <v>3290</v>
      </c>
      <c r="V87" s="776">
        <f>VLOOKUP($B87,QD!$B$9:$L$316,10,0)</f>
        <v>1645</v>
      </c>
      <c r="W87" s="776">
        <v>1645</v>
      </c>
      <c r="X87" s="776">
        <v>50</v>
      </c>
      <c r="Y87" s="1116"/>
      <c r="Z87" s="776">
        <f t="shared" si="48"/>
        <v>1645</v>
      </c>
      <c r="AA87" s="775">
        <f t="shared" si="43"/>
        <v>3115</v>
      </c>
      <c r="AB87" s="775">
        <f t="shared" si="44"/>
        <v>1645</v>
      </c>
      <c r="AC87" s="775">
        <f t="shared" si="45"/>
        <v>3115</v>
      </c>
      <c r="AD87" s="775">
        <f t="shared" si="46"/>
        <v>4640</v>
      </c>
      <c r="AE87" s="775">
        <f t="shared" si="47"/>
        <v>1645</v>
      </c>
      <c r="AF87" s="1116"/>
      <c r="AG87" s="776"/>
      <c r="AH87" s="1526"/>
      <c r="AK87" s="747" t="s">
        <v>49</v>
      </c>
      <c r="AL87" s="747"/>
      <c r="AM87" s="746"/>
    </row>
    <row r="88" spans="1:40" ht="30" customHeight="1">
      <c r="A88" s="777">
        <v>60</v>
      </c>
      <c r="B88" s="1215" t="s">
        <v>271</v>
      </c>
      <c r="C88" s="1532"/>
      <c r="D88" s="1215"/>
      <c r="E88" s="1115" t="s">
        <v>348</v>
      </c>
      <c r="F88" s="780" t="s">
        <v>387</v>
      </c>
      <c r="G88" s="778" t="s">
        <v>26</v>
      </c>
      <c r="H88" s="358">
        <v>2017</v>
      </c>
      <c r="I88" s="358"/>
      <c r="J88" s="358">
        <v>2019</v>
      </c>
      <c r="K88" s="358"/>
      <c r="L88" s="1533" t="s">
        <v>425</v>
      </c>
      <c r="M88" s="224" t="s">
        <v>272</v>
      </c>
      <c r="N88" s="1115">
        <v>5291</v>
      </c>
      <c r="O88" s="1115"/>
      <c r="P88" s="1115">
        <v>5291</v>
      </c>
      <c r="Q88" s="1115">
        <v>1350</v>
      </c>
      <c r="R88" s="1115"/>
      <c r="S88" s="1115">
        <v>1350</v>
      </c>
      <c r="T88" s="1115">
        <v>4642</v>
      </c>
      <c r="U88" s="1115">
        <v>3292</v>
      </c>
      <c r="V88" s="776">
        <f>VLOOKUP($B88,QD!$B$9:$L$316,10,0)</f>
        <v>1646</v>
      </c>
      <c r="W88" s="776">
        <v>1646</v>
      </c>
      <c r="X88" s="776">
        <v>50</v>
      </c>
      <c r="Y88" s="1116"/>
      <c r="Z88" s="776">
        <f t="shared" si="48"/>
        <v>1646</v>
      </c>
      <c r="AA88" s="775">
        <f t="shared" si="43"/>
        <v>2996</v>
      </c>
      <c r="AB88" s="775">
        <f t="shared" si="44"/>
        <v>1646</v>
      </c>
      <c r="AC88" s="775">
        <f t="shared" si="45"/>
        <v>2996</v>
      </c>
      <c r="AD88" s="775">
        <f t="shared" si="46"/>
        <v>4642</v>
      </c>
      <c r="AE88" s="775">
        <f t="shared" si="47"/>
        <v>1646</v>
      </c>
      <c r="AF88" s="1116"/>
      <c r="AG88" s="776"/>
      <c r="AH88" s="1526"/>
      <c r="AK88" s="747" t="s">
        <v>1984</v>
      </c>
      <c r="AL88" s="747"/>
      <c r="AM88" s="746" t="s">
        <v>2081</v>
      </c>
      <c r="AN88" s="745" t="s">
        <v>2087</v>
      </c>
    </row>
    <row r="89" spans="1:40" ht="30" customHeight="1">
      <c r="A89" s="777">
        <v>61</v>
      </c>
      <c r="B89" s="1215" t="s">
        <v>273</v>
      </c>
      <c r="C89" s="1532"/>
      <c r="D89" s="1215"/>
      <c r="E89" s="1115" t="s">
        <v>348</v>
      </c>
      <c r="F89" s="780" t="s">
        <v>387</v>
      </c>
      <c r="G89" s="933" t="s">
        <v>49</v>
      </c>
      <c r="H89" s="358">
        <v>2017</v>
      </c>
      <c r="I89" s="358"/>
      <c r="J89" s="358">
        <v>2019</v>
      </c>
      <c r="K89" s="358"/>
      <c r="L89" s="1533" t="s">
        <v>426</v>
      </c>
      <c r="M89" s="185" t="s">
        <v>274</v>
      </c>
      <c r="N89" s="1115">
        <v>4954</v>
      </c>
      <c r="O89" s="1115"/>
      <c r="P89" s="1115">
        <v>4954</v>
      </c>
      <c r="Q89" s="1115">
        <v>1450</v>
      </c>
      <c r="R89" s="1115"/>
      <c r="S89" s="1115">
        <v>1450</v>
      </c>
      <c r="T89" s="1115">
        <v>4459</v>
      </c>
      <c r="U89" s="1115">
        <v>3009</v>
      </c>
      <c r="V89" s="776">
        <f>VLOOKUP($B89,QD!$B$9:$L$316,10,0)</f>
        <v>1504</v>
      </c>
      <c r="W89" s="776">
        <v>1504.5</v>
      </c>
      <c r="X89" s="776">
        <v>50</v>
      </c>
      <c r="Y89" s="1116"/>
      <c r="Z89" s="776">
        <f t="shared" si="48"/>
        <v>1504</v>
      </c>
      <c r="AA89" s="775">
        <f t="shared" si="43"/>
        <v>2954</v>
      </c>
      <c r="AB89" s="775">
        <f t="shared" si="44"/>
        <v>1504</v>
      </c>
      <c r="AC89" s="775">
        <f t="shared" si="45"/>
        <v>2954</v>
      </c>
      <c r="AD89" s="775">
        <f t="shared" si="46"/>
        <v>4459</v>
      </c>
      <c r="AE89" s="775">
        <f t="shared" si="47"/>
        <v>1505</v>
      </c>
      <c r="AF89" s="1116"/>
      <c r="AG89" s="776"/>
      <c r="AH89" s="1526"/>
      <c r="AK89" s="747" t="s">
        <v>49</v>
      </c>
      <c r="AL89" s="747"/>
      <c r="AM89" s="746"/>
    </row>
    <row r="90" spans="1:40" ht="30" customHeight="1">
      <c r="A90" s="777">
        <v>62</v>
      </c>
      <c r="B90" s="1215" t="s">
        <v>275</v>
      </c>
      <c r="C90" s="1532"/>
      <c r="D90" s="1215"/>
      <c r="E90" s="1115" t="s">
        <v>348</v>
      </c>
      <c r="F90" s="780" t="s">
        <v>387</v>
      </c>
      <c r="G90" s="778" t="s">
        <v>46</v>
      </c>
      <c r="H90" s="358">
        <v>2017</v>
      </c>
      <c r="I90" s="358"/>
      <c r="J90" s="358">
        <v>2019</v>
      </c>
      <c r="K90" s="358"/>
      <c r="L90" s="1533" t="s">
        <v>427</v>
      </c>
      <c r="M90" s="185" t="s">
        <v>276</v>
      </c>
      <c r="N90" s="1115">
        <v>1982</v>
      </c>
      <c r="O90" s="1115"/>
      <c r="P90" s="1115">
        <v>1982</v>
      </c>
      <c r="Q90" s="1115">
        <v>1000</v>
      </c>
      <c r="R90" s="1115"/>
      <c r="S90" s="1115">
        <v>1000</v>
      </c>
      <c r="T90" s="1115">
        <v>1784</v>
      </c>
      <c r="U90" s="1115">
        <v>784</v>
      </c>
      <c r="V90" s="776">
        <f>VLOOKUP($B90,QD!$B$9:$L$316,10,0)</f>
        <v>784</v>
      </c>
      <c r="W90" s="776">
        <v>784</v>
      </c>
      <c r="X90" s="776">
        <v>100</v>
      </c>
      <c r="Y90" s="1116"/>
      <c r="Z90" s="776">
        <f t="shared" si="48"/>
        <v>784</v>
      </c>
      <c r="AA90" s="775">
        <f t="shared" si="43"/>
        <v>1784</v>
      </c>
      <c r="AB90" s="775">
        <f t="shared" si="44"/>
        <v>784</v>
      </c>
      <c r="AC90" s="775">
        <f t="shared" si="45"/>
        <v>1784</v>
      </c>
      <c r="AD90" s="775">
        <f t="shared" si="46"/>
        <v>1784</v>
      </c>
      <c r="AE90" s="775">
        <f t="shared" si="47"/>
        <v>0</v>
      </c>
      <c r="AF90" s="1116"/>
      <c r="AG90" s="776"/>
      <c r="AH90" s="1526"/>
      <c r="AK90" s="747" t="s">
        <v>2027</v>
      </c>
      <c r="AL90" s="747"/>
      <c r="AM90" s="746" t="s">
        <v>2080</v>
      </c>
      <c r="AN90" s="745" t="s">
        <v>2087</v>
      </c>
    </row>
    <row r="91" spans="1:40" ht="30" customHeight="1">
      <c r="A91" s="777">
        <v>63</v>
      </c>
      <c r="B91" s="1215" t="s">
        <v>277</v>
      </c>
      <c r="C91" s="1532"/>
      <c r="D91" s="1215"/>
      <c r="E91" s="1115" t="s">
        <v>348</v>
      </c>
      <c r="F91" s="780" t="s">
        <v>387</v>
      </c>
      <c r="G91" s="1236" t="s">
        <v>9</v>
      </c>
      <c r="H91" s="358">
        <v>2017</v>
      </c>
      <c r="I91" s="358"/>
      <c r="J91" s="358">
        <v>2019</v>
      </c>
      <c r="K91" s="358"/>
      <c r="L91" s="1533" t="s">
        <v>428</v>
      </c>
      <c r="M91" s="185" t="s">
        <v>278</v>
      </c>
      <c r="N91" s="1115">
        <v>4513</v>
      </c>
      <c r="O91" s="1115"/>
      <c r="P91" s="1115">
        <v>4513</v>
      </c>
      <c r="Q91" s="1115">
        <v>1350</v>
      </c>
      <c r="R91" s="1115"/>
      <c r="S91" s="1115">
        <v>1350</v>
      </c>
      <c r="T91" s="1115">
        <v>4062</v>
      </c>
      <c r="U91" s="1115">
        <v>2712</v>
      </c>
      <c r="V91" s="776">
        <f>VLOOKUP($B91,QD!$B$9:$L$316,10,0)</f>
        <v>1356</v>
      </c>
      <c r="W91" s="776">
        <v>1356</v>
      </c>
      <c r="X91" s="776">
        <v>50</v>
      </c>
      <c r="Y91" s="1116"/>
      <c r="Z91" s="776">
        <f t="shared" si="48"/>
        <v>1356</v>
      </c>
      <c r="AA91" s="775">
        <f t="shared" si="43"/>
        <v>2706</v>
      </c>
      <c r="AB91" s="775">
        <f t="shared" si="44"/>
        <v>1356</v>
      </c>
      <c r="AC91" s="775">
        <f t="shared" si="45"/>
        <v>2706</v>
      </c>
      <c r="AD91" s="775">
        <f t="shared" si="46"/>
        <v>4062</v>
      </c>
      <c r="AE91" s="775">
        <f t="shared" si="47"/>
        <v>1356</v>
      </c>
      <c r="AF91" s="1116"/>
      <c r="AG91" s="776"/>
      <c r="AH91" s="1526"/>
      <c r="AK91" s="747" t="s">
        <v>1992</v>
      </c>
      <c r="AL91" s="747"/>
      <c r="AM91" s="746"/>
      <c r="AN91" s="745" t="s">
        <v>2087</v>
      </c>
    </row>
    <row r="92" spans="1:40" ht="30" customHeight="1">
      <c r="A92" s="777">
        <v>64</v>
      </c>
      <c r="B92" s="1215" t="s">
        <v>875</v>
      </c>
      <c r="C92" s="1532"/>
      <c r="D92" s="1215"/>
      <c r="E92" s="1115" t="s">
        <v>348</v>
      </c>
      <c r="F92" s="780" t="s">
        <v>387</v>
      </c>
      <c r="G92" s="1215" t="s">
        <v>10</v>
      </c>
      <c r="H92" s="358">
        <v>2017</v>
      </c>
      <c r="I92" s="358"/>
      <c r="J92" s="358">
        <v>2019</v>
      </c>
      <c r="K92" s="358"/>
      <c r="L92" s="1534" t="s">
        <v>429</v>
      </c>
      <c r="M92" s="185" t="s">
        <v>279</v>
      </c>
      <c r="N92" s="1115">
        <v>3859</v>
      </c>
      <c r="O92" s="1115"/>
      <c r="P92" s="1115">
        <v>3859</v>
      </c>
      <c r="Q92" s="1115">
        <v>1050</v>
      </c>
      <c r="R92" s="1115"/>
      <c r="S92" s="1115">
        <v>1050</v>
      </c>
      <c r="T92" s="1115">
        <v>3473</v>
      </c>
      <c r="U92" s="1115">
        <v>2423</v>
      </c>
      <c r="V92" s="776">
        <f>VLOOKUP($B92,QD!$B$9:$L$316,10,0)</f>
        <v>1211</v>
      </c>
      <c r="W92" s="776">
        <v>1211.5</v>
      </c>
      <c r="X92" s="776">
        <v>50</v>
      </c>
      <c r="Y92" s="1116"/>
      <c r="Z92" s="776">
        <f t="shared" si="48"/>
        <v>1211</v>
      </c>
      <c r="AA92" s="775">
        <f t="shared" si="43"/>
        <v>2261</v>
      </c>
      <c r="AB92" s="775">
        <f t="shared" si="44"/>
        <v>1211</v>
      </c>
      <c r="AC92" s="775">
        <f t="shared" si="45"/>
        <v>2261</v>
      </c>
      <c r="AD92" s="775">
        <f t="shared" si="46"/>
        <v>3473</v>
      </c>
      <c r="AE92" s="775">
        <f t="shared" si="47"/>
        <v>1212</v>
      </c>
      <c r="AF92" s="1116"/>
      <c r="AG92" s="776"/>
      <c r="AH92" s="1526"/>
      <c r="AK92" s="747" t="s">
        <v>1979</v>
      </c>
      <c r="AL92" s="747"/>
      <c r="AM92" s="746"/>
      <c r="AN92" s="745" t="s">
        <v>2087</v>
      </c>
    </row>
    <row r="93" spans="1:40" ht="30" customHeight="1">
      <c r="A93" s="777">
        <v>65</v>
      </c>
      <c r="B93" s="1215" t="s">
        <v>280</v>
      </c>
      <c r="C93" s="1532"/>
      <c r="D93" s="1215"/>
      <c r="E93" s="1115" t="s">
        <v>348</v>
      </c>
      <c r="F93" s="780" t="s">
        <v>387</v>
      </c>
      <c r="G93" s="933" t="s">
        <v>49</v>
      </c>
      <c r="H93" s="358">
        <v>2017</v>
      </c>
      <c r="I93" s="358"/>
      <c r="J93" s="358">
        <v>2019</v>
      </c>
      <c r="K93" s="358"/>
      <c r="L93" s="1533" t="s">
        <v>430</v>
      </c>
      <c r="M93" s="185" t="s">
        <v>281</v>
      </c>
      <c r="N93" s="1115">
        <v>3500</v>
      </c>
      <c r="O93" s="1115"/>
      <c r="P93" s="1115">
        <v>3500</v>
      </c>
      <c r="Q93" s="1115">
        <v>1000</v>
      </c>
      <c r="R93" s="1115"/>
      <c r="S93" s="1115">
        <v>1000</v>
      </c>
      <c r="T93" s="1115">
        <v>3150</v>
      </c>
      <c r="U93" s="1115">
        <v>2150</v>
      </c>
      <c r="V93" s="776">
        <f>VLOOKUP($B93,QD!$B$9:$L$316,10,0)</f>
        <v>1075</v>
      </c>
      <c r="W93" s="776">
        <v>1075</v>
      </c>
      <c r="X93" s="776">
        <v>50</v>
      </c>
      <c r="Y93" s="1116"/>
      <c r="Z93" s="776">
        <f>V93+Y93</f>
        <v>1075</v>
      </c>
      <c r="AA93" s="775">
        <f t="shared" si="43"/>
        <v>2075</v>
      </c>
      <c r="AB93" s="775">
        <f t="shared" si="44"/>
        <v>1075</v>
      </c>
      <c r="AC93" s="775">
        <f t="shared" si="45"/>
        <v>2075</v>
      </c>
      <c r="AD93" s="775">
        <f t="shared" si="46"/>
        <v>3150</v>
      </c>
      <c r="AE93" s="775">
        <f t="shared" si="47"/>
        <v>1075</v>
      </c>
      <c r="AF93" s="1116"/>
      <c r="AG93" s="776"/>
      <c r="AH93" s="1526"/>
      <c r="AK93" s="747" t="s">
        <v>1946</v>
      </c>
      <c r="AL93" s="747"/>
      <c r="AM93" s="746" t="s">
        <v>2080</v>
      </c>
      <c r="AN93" s="745" t="s">
        <v>2087</v>
      </c>
    </row>
    <row r="94" spans="1:40" ht="30" customHeight="1">
      <c r="A94" s="777">
        <v>66</v>
      </c>
      <c r="B94" s="1215" t="s">
        <v>282</v>
      </c>
      <c r="C94" s="1532"/>
      <c r="D94" s="1215"/>
      <c r="E94" s="1115" t="s">
        <v>348</v>
      </c>
      <c r="F94" s="780" t="s">
        <v>387</v>
      </c>
      <c r="G94" s="933" t="s">
        <v>49</v>
      </c>
      <c r="H94" s="358">
        <v>2017</v>
      </c>
      <c r="I94" s="358"/>
      <c r="J94" s="358">
        <v>2019</v>
      </c>
      <c r="K94" s="358"/>
      <c r="L94" s="1533" t="s">
        <v>431</v>
      </c>
      <c r="M94" s="185" t="s">
        <v>283</v>
      </c>
      <c r="N94" s="1115">
        <v>4130.6000000000004</v>
      </c>
      <c r="O94" s="1115"/>
      <c r="P94" s="1115">
        <v>4130.6000000000004</v>
      </c>
      <c r="Q94" s="1115">
        <v>1100</v>
      </c>
      <c r="R94" s="1115"/>
      <c r="S94" s="1115">
        <v>1100</v>
      </c>
      <c r="T94" s="1115">
        <v>3718</v>
      </c>
      <c r="U94" s="1115">
        <v>2618</v>
      </c>
      <c r="V94" s="776">
        <f>VLOOKUP($B94,QD!$B$9:$L$316,10,0)</f>
        <v>1309</v>
      </c>
      <c r="W94" s="776">
        <v>1309</v>
      </c>
      <c r="X94" s="776">
        <v>50</v>
      </c>
      <c r="Y94" s="1116"/>
      <c r="Z94" s="776">
        <f t="shared" ref="Z94:Z155" si="49">V94+Y94</f>
        <v>1309</v>
      </c>
      <c r="AA94" s="775">
        <f t="shared" si="43"/>
        <v>2409</v>
      </c>
      <c r="AB94" s="775">
        <f t="shared" si="44"/>
        <v>1309</v>
      </c>
      <c r="AC94" s="775">
        <f t="shared" si="45"/>
        <v>2409</v>
      </c>
      <c r="AD94" s="775">
        <f t="shared" si="46"/>
        <v>3718</v>
      </c>
      <c r="AE94" s="775">
        <f t="shared" si="47"/>
        <v>1309</v>
      </c>
      <c r="AF94" s="1116"/>
      <c r="AG94" s="776"/>
      <c r="AH94" s="1526"/>
      <c r="AK94" s="747" t="s">
        <v>2003</v>
      </c>
      <c r="AL94" s="747"/>
      <c r="AM94" s="746"/>
    </row>
    <row r="95" spans="1:40" ht="30" customHeight="1">
      <c r="A95" s="777">
        <v>67</v>
      </c>
      <c r="B95" s="1215" t="s">
        <v>284</v>
      </c>
      <c r="C95" s="1532"/>
      <c r="D95" s="1215"/>
      <c r="E95" s="1115" t="s">
        <v>348</v>
      </c>
      <c r="F95" s="780" t="s">
        <v>387</v>
      </c>
      <c r="G95" s="933" t="s">
        <v>49</v>
      </c>
      <c r="H95" s="358">
        <v>2017</v>
      </c>
      <c r="I95" s="358"/>
      <c r="J95" s="358">
        <v>2019</v>
      </c>
      <c r="K95" s="358"/>
      <c r="L95" s="1533" t="s">
        <v>432</v>
      </c>
      <c r="M95" s="185" t="s">
        <v>285</v>
      </c>
      <c r="N95" s="1115">
        <v>3439</v>
      </c>
      <c r="O95" s="1115"/>
      <c r="P95" s="1115">
        <v>3439</v>
      </c>
      <c r="Q95" s="1115">
        <v>1000</v>
      </c>
      <c r="R95" s="1115"/>
      <c r="S95" s="1115">
        <v>1000</v>
      </c>
      <c r="T95" s="1115">
        <v>3095</v>
      </c>
      <c r="U95" s="1115">
        <v>2095</v>
      </c>
      <c r="V95" s="776">
        <f>VLOOKUP($B95,QD!$B$9:$L$316,10,0)</f>
        <v>1048</v>
      </c>
      <c r="W95" s="776">
        <v>1047.5</v>
      </c>
      <c r="X95" s="776">
        <v>50</v>
      </c>
      <c r="Y95" s="1116"/>
      <c r="Z95" s="776">
        <f t="shared" si="49"/>
        <v>1048</v>
      </c>
      <c r="AA95" s="775">
        <f t="shared" si="43"/>
        <v>2048</v>
      </c>
      <c r="AB95" s="775">
        <f t="shared" si="44"/>
        <v>1048</v>
      </c>
      <c r="AC95" s="775">
        <f t="shared" si="45"/>
        <v>2048</v>
      </c>
      <c r="AD95" s="775">
        <f t="shared" si="46"/>
        <v>3095</v>
      </c>
      <c r="AE95" s="775">
        <f t="shared" si="47"/>
        <v>1047</v>
      </c>
      <c r="AF95" s="1116"/>
      <c r="AG95" s="776"/>
      <c r="AH95" s="1526"/>
      <c r="AK95" s="747" t="s">
        <v>1952</v>
      </c>
      <c r="AL95" s="747"/>
      <c r="AM95" s="746"/>
    </row>
    <row r="96" spans="1:40" ht="30" customHeight="1">
      <c r="A96" s="777">
        <v>68</v>
      </c>
      <c r="B96" s="1215" t="s">
        <v>286</v>
      </c>
      <c r="C96" s="1532"/>
      <c r="D96" s="1215"/>
      <c r="E96" s="1115" t="s">
        <v>348</v>
      </c>
      <c r="F96" s="780" t="s">
        <v>387</v>
      </c>
      <c r="G96" s="1299" t="s">
        <v>17</v>
      </c>
      <c r="H96" s="358">
        <v>2017</v>
      </c>
      <c r="I96" s="358"/>
      <c r="J96" s="358">
        <v>2019</v>
      </c>
      <c r="K96" s="358"/>
      <c r="L96" s="1533" t="s">
        <v>433</v>
      </c>
      <c r="M96" s="224" t="s">
        <v>287</v>
      </c>
      <c r="N96" s="1115">
        <v>2924</v>
      </c>
      <c r="O96" s="1115"/>
      <c r="P96" s="1115">
        <v>2924</v>
      </c>
      <c r="Q96" s="1115">
        <v>900</v>
      </c>
      <c r="R96" s="1115"/>
      <c r="S96" s="1115">
        <v>900</v>
      </c>
      <c r="T96" s="1115">
        <v>2632</v>
      </c>
      <c r="U96" s="1115">
        <v>1732</v>
      </c>
      <c r="V96" s="776">
        <f>VLOOKUP($B96,QD!$B$9:$L$316,10,0)</f>
        <v>866</v>
      </c>
      <c r="W96" s="776">
        <v>866</v>
      </c>
      <c r="X96" s="776">
        <v>50</v>
      </c>
      <c r="Y96" s="1116"/>
      <c r="Z96" s="776">
        <f t="shared" si="49"/>
        <v>866</v>
      </c>
      <c r="AA96" s="775">
        <f t="shared" si="43"/>
        <v>1766</v>
      </c>
      <c r="AB96" s="775">
        <f t="shared" si="44"/>
        <v>866</v>
      </c>
      <c r="AC96" s="775">
        <f t="shared" si="45"/>
        <v>1766</v>
      </c>
      <c r="AD96" s="775">
        <f t="shared" si="46"/>
        <v>2632</v>
      </c>
      <c r="AE96" s="775">
        <f t="shared" si="47"/>
        <v>866</v>
      </c>
      <c r="AF96" s="1116"/>
      <c r="AG96" s="776"/>
      <c r="AH96" s="1526"/>
      <c r="AK96" s="747" t="s">
        <v>2028</v>
      </c>
      <c r="AL96" s="747"/>
      <c r="AM96" s="746"/>
      <c r="AN96" s="745" t="s">
        <v>2087</v>
      </c>
    </row>
    <row r="97" spans="1:40" ht="30" customHeight="1">
      <c r="A97" s="777">
        <v>69</v>
      </c>
      <c r="B97" s="1215" t="s">
        <v>288</v>
      </c>
      <c r="C97" s="1215"/>
      <c r="D97" s="1215"/>
      <c r="E97" s="1115" t="s">
        <v>348</v>
      </c>
      <c r="F97" s="780" t="s">
        <v>387</v>
      </c>
      <c r="G97" s="933" t="s">
        <v>44</v>
      </c>
      <c r="H97" s="358">
        <v>2017</v>
      </c>
      <c r="I97" s="358"/>
      <c r="J97" s="358">
        <v>2019</v>
      </c>
      <c r="K97" s="358"/>
      <c r="L97" s="358"/>
      <c r="M97" s="224" t="s">
        <v>289</v>
      </c>
      <c r="N97" s="1115">
        <v>3843</v>
      </c>
      <c r="O97" s="1115"/>
      <c r="P97" s="1115">
        <v>3843</v>
      </c>
      <c r="Q97" s="1115">
        <v>1000</v>
      </c>
      <c r="R97" s="1115"/>
      <c r="S97" s="1115">
        <v>1000</v>
      </c>
      <c r="T97" s="1115">
        <v>3459</v>
      </c>
      <c r="U97" s="1115">
        <v>2459</v>
      </c>
      <c r="V97" s="776">
        <f>VLOOKUP($B97,QD!$B$9:$L$316,10,0)</f>
        <v>1229</v>
      </c>
      <c r="W97" s="776">
        <v>1229.5</v>
      </c>
      <c r="X97" s="776">
        <v>50</v>
      </c>
      <c r="Y97" s="1116"/>
      <c r="Z97" s="776">
        <f t="shared" si="49"/>
        <v>1229</v>
      </c>
      <c r="AA97" s="775">
        <f t="shared" si="43"/>
        <v>2229</v>
      </c>
      <c r="AB97" s="775">
        <f t="shared" si="44"/>
        <v>1229</v>
      </c>
      <c r="AC97" s="775">
        <f t="shared" si="45"/>
        <v>2229</v>
      </c>
      <c r="AD97" s="775">
        <f t="shared" si="46"/>
        <v>3459</v>
      </c>
      <c r="AE97" s="775">
        <f t="shared" si="47"/>
        <v>1230</v>
      </c>
      <c r="AF97" s="1116"/>
      <c r="AG97" s="776"/>
      <c r="AH97" s="1526"/>
      <c r="AK97" s="747" t="s">
        <v>1999</v>
      </c>
      <c r="AL97" s="747"/>
      <c r="AM97" s="746"/>
      <c r="AN97" s="745" t="s">
        <v>2087</v>
      </c>
    </row>
    <row r="98" spans="1:40" ht="30" customHeight="1">
      <c r="A98" s="777">
        <v>70</v>
      </c>
      <c r="B98" s="1215" t="s">
        <v>290</v>
      </c>
      <c r="C98" s="1215"/>
      <c r="D98" s="1215"/>
      <c r="E98" s="1115" t="s">
        <v>348</v>
      </c>
      <c r="F98" s="780" t="s">
        <v>387</v>
      </c>
      <c r="G98" s="1299" t="s">
        <v>17</v>
      </c>
      <c r="H98" s="358">
        <v>2017</v>
      </c>
      <c r="I98" s="358"/>
      <c r="J98" s="358">
        <v>2019</v>
      </c>
      <c r="K98" s="358"/>
      <c r="L98" s="358"/>
      <c r="M98" s="224" t="s">
        <v>291</v>
      </c>
      <c r="N98" s="1115">
        <v>4077</v>
      </c>
      <c r="O98" s="1115"/>
      <c r="P98" s="1115">
        <v>4077</v>
      </c>
      <c r="Q98" s="1115">
        <v>1000</v>
      </c>
      <c r="R98" s="1115"/>
      <c r="S98" s="1115">
        <v>1000</v>
      </c>
      <c r="T98" s="1115">
        <v>3669</v>
      </c>
      <c r="U98" s="1115">
        <v>2669</v>
      </c>
      <c r="V98" s="776">
        <f>VLOOKUP($B98,QD!$B$9:$L$316,10,0)</f>
        <v>1334</v>
      </c>
      <c r="W98" s="776">
        <v>1334.5</v>
      </c>
      <c r="X98" s="776">
        <v>50</v>
      </c>
      <c r="Y98" s="1116"/>
      <c r="Z98" s="776">
        <f t="shared" si="49"/>
        <v>1334</v>
      </c>
      <c r="AA98" s="775">
        <f t="shared" si="43"/>
        <v>2334</v>
      </c>
      <c r="AB98" s="775">
        <f t="shared" si="44"/>
        <v>1334</v>
      </c>
      <c r="AC98" s="775">
        <f t="shared" si="45"/>
        <v>2334</v>
      </c>
      <c r="AD98" s="775">
        <f t="shared" si="46"/>
        <v>3669</v>
      </c>
      <c r="AE98" s="775">
        <f t="shared" si="47"/>
        <v>1335</v>
      </c>
      <c r="AF98" s="1116"/>
      <c r="AG98" s="776"/>
      <c r="AH98" s="1526"/>
      <c r="AK98" s="747" t="s">
        <v>1949</v>
      </c>
      <c r="AL98" s="747"/>
      <c r="AM98" s="746"/>
      <c r="AN98" s="745" t="s">
        <v>2087</v>
      </c>
    </row>
    <row r="99" spans="1:40" ht="30" customHeight="1">
      <c r="A99" s="777">
        <v>71</v>
      </c>
      <c r="B99" s="1215" t="s">
        <v>292</v>
      </c>
      <c r="C99" s="1215"/>
      <c r="D99" s="1215"/>
      <c r="E99" s="1115" t="s">
        <v>348</v>
      </c>
      <c r="F99" s="780" t="s">
        <v>387</v>
      </c>
      <c r="G99" s="1299" t="s">
        <v>17</v>
      </c>
      <c r="H99" s="358">
        <v>2017</v>
      </c>
      <c r="I99" s="358"/>
      <c r="J99" s="358">
        <v>2019</v>
      </c>
      <c r="K99" s="358"/>
      <c r="L99" s="1533" t="s">
        <v>434</v>
      </c>
      <c r="M99" s="185" t="s">
        <v>293</v>
      </c>
      <c r="N99" s="1115">
        <v>4500</v>
      </c>
      <c r="O99" s="1115"/>
      <c r="P99" s="1115">
        <v>4500</v>
      </c>
      <c r="Q99" s="1115">
        <v>1100</v>
      </c>
      <c r="R99" s="1115"/>
      <c r="S99" s="1115">
        <v>1100</v>
      </c>
      <c r="T99" s="1115">
        <v>4050</v>
      </c>
      <c r="U99" s="1115">
        <v>2950</v>
      </c>
      <c r="V99" s="776">
        <f>VLOOKUP($B99,QD!$B$9:$L$316,10,0)</f>
        <v>1475</v>
      </c>
      <c r="W99" s="776">
        <v>1475</v>
      </c>
      <c r="X99" s="776">
        <v>50</v>
      </c>
      <c r="Y99" s="1116"/>
      <c r="Z99" s="776">
        <f t="shared" si="49"/>
        <v>1475</v>
      </c>
      <c r="AA99" s="775">
        <f t="shared" si="43"/>
        <v>2575</v>
      </c>
      <c r="AB99" s="775">
        <f t="shared" si="44"/>
        <v>1475</v>
      </c>
      <c r="AC99" s="775">
        <f t="shared" si="45"/>
        <v>2575</v>
      </c>
      <c r="AD99" s="775">
        <f t="shared" si="46"/>
        <v>4050</v>
      </c>
      <c r="AE99" s="775">
        <f t="shared" si="47"/>
        <v>1475</v>
      </c>
      <c r="AF99" s="1116"/>
      <c r="AG99" s="776"/>
      <c r="AH99" s="1526"/>
      <c r="AK99" s="747" t="s">
        <v>1991</v>
      </c>
      <c r="AL99" s="747"/>
      <c r="AM99" s="746"/>
      <c r="AN99" s="745" t="s">
        <v>2087</v>
      </c>
    </row>
    <row r="100" spans="1:40" ht="30" customHeight="1">
      <c r="A100" s="777">
        <v>72</v>
      </c>
      <c r="B100" s="1215" t="s">
        <v>294</v>
      </c>
      <c r="C100" s="1215"/>
      <c r="D100" s="1215"/>
      <c r="E100" s="1115" t="s">
        <v>348</v>
      </c>
      <c r="F100" s="780" t="s">
        <v>387</v>
      </c>
      <c r="G100" s="1299" t="s">
        <v>17</v>
      </c>
      <c r="H100" s="358">
        <v>2017</v>
      </c>
      <c r="I100" s="358"/>
      <c r="J100" s="358">
        <v>2019</v>
      </c>
      <c r="K100" s="358"/>
      <c r="L100" s="1533"/>
      <c r="M100" s="185" t="s">
        <v>295</v>
      </c>
      <c r="N100" s="1115">
        <v>3861</v>
      </c>
      <c r="O100" s="1115"/>
      <c r="P100" s="1115">
        <v>3861</v>
      </c>
      <c r="Q100" s="1115">
        <v>1000</v>
      </c>
      <c r="R100" s="1115"/>
      <c r="S100" s="1115">
        <v>1000</v>
      </c>
      <c r="T100" s="1115">
        <v>3475</v>
      </c>
      <c r="U100" s="1115">
        <v>2475</v>
      </c>
      <c r="V100" s="776">
        <f>VLOOKUP($B100,QD!$B$9:$L$316,10,0)</f>
        <v>1237</v>
      </c>
      <c r="W100" s="776">
        <v>1237.5</v>
      </c>
      <c r="X100" s="776">
        <v>50</v>
      </c>
      <c r="Y100" s="1116"/>
      <c r="Z100" s="776">
        <f t="shared" si="49"/>
        <v>1237</v>
      </c>
      <c r="AA100" s="775">
        <f t="shared" si="43"/>
        <v>2237</v>
      </c>
      <c r="AB100" s="775">
        <f t="shared" si="44"/>
        <v>1237</v>
      </c>
      <c r="AC100" s="775">
        <f t="shared" si="45"/>
        <v>2237</v>
      </c>
      <c r="AD100" s="775">
        <f t="shared" si="46"/>
        <v>3475</v>
      </c>
      <c r="AE100" s="775">
        <f t="shared" si="47"/>
        <v>1238</v>
      </c>
      <c r="AF100" s="1116"/>
      <c r="AG100" s="776"/>
      <c r="AH100" s="1526"/>
      <c r="AK100" s="747" t="s">
        <v>2029</v>
      </c>
      <c r="AL100" s="747"/>
      <c r="AM100" s="746"/>
      <c r="AN100" s="745" t="s">
        <v>2087</v>
      </c>
    </row>
    <row r="101" spans="1:40" ht="30" customHeight="1">
      <c r="A101" s="777">
        <v>73</v>
      </c>
      <c r="B101" s="1215" t="s">
        <v>296</v>
      </c>
      <c r="C101" s="1215"/>
      <c r="D101" s="1215"/>
      <c r="E101" s="1115" t="s">
        <v>348</v>
      </c>
      <c r="F101" s="780" t="s">
        <v>387</v>
      </c>
      <c r="G101" s="1299" t="s">
        <v>17</v>
      </c>
      <c r="H101" s="358">
        <v>2017</v>
      </c>
      <c r="I101" s="358"/>
      <c r="J101" s="358">
        <v>2019</v>
      </c>
      <c r="K101" s="358"/>
      <c r="L101" s="1533" t="s">
        <v>435</v>
      </c>
      <c r="M101" s="224" t="s">
        <v>297</v>
      </c>
      <c r="N101" s="1115">
        <v>3500</v>
      </c>
      <c r="O101" s="1115"/>
      <c r="P101" s="1115">
        <v>3500</v>
      </c>
      <c r="Q101" s="1115">
        <v>950</v>
      </c>
      <c r="R101" s="1115"/>
      <c r="S101" s="1115">
        <v>950</v>
      </c>
      <c r="T101" s="1115">
        <v>3150</v>
      </c>
      <c r="U101" s="1115">
        <v>2200</v>
      </c>
      <c r="V101" s="776">
        <f>VLOOKUP($B101,QD!$B$9:$L$316,10,0)</f>
        <v>1100</v>
      </c>
      <c r="W101" s="776">
        <v>1100</v>
      </c>
      <c r="X101" s="776">
        <v>50</v>
      </c>
      <c r="Y101" s="1116"/>
      <c r="Z101" s="776">
        <f t="shared" si="49"/>
        <v>1100</v>
      </c>
      <c r="AA101" s="775">
        <f t="shared" si="43"/>
        <v>2050</v>
      </c>
      <c r="AB101" s="775">
        <f t="shared" si="44"/>
        <v>1100</v>
      </c>
      <c r="AC101" s="775">
        <f t="shared" si="45"/>
        <v>2050</v>
      </c>
      <c r="AD101" s="775">
        <f t="shared" si="46"/>
        <v>3150</v>
      </c>
      <c r="AE101" s="775">
        <f t="shared" si="47"/>
        <v>1100</v>
      </c>
      <c r="AF101" s="1116"/>
      <c r="AG101" s="776"/>
      <c r="AH101" s="1526"/>
      <c r="AK101" s="747" t="s">
        <v>1956</v>
      </c>
      <c r="AL101" s="747"/>
      <c r="AM101" s="746"/>
      <c r="AN101" s="745" t="s">
        <v>2087</v>
      </c>
    </row>
    <row r="102" spans="1:40" ht="30" customHeight="1">
      <c r="A102" s="777">
        <v>74</v>
      </c>
      <c r="B102" s="1215" t="s">
        <v>894</v>
      </c>
      <c r="C102" s="1215"/>
      <c r="D102" s="1215"/>
      <c r="E102" s="1115" t="s">
        <v>348</v>
      </c>
      <c r="F102" s="780" t="s">
        <v>387</v>
      </c>
      <c r="G102" s="1215" t="s">
        <v>10</v>
      </c>
      <c r="H102" s="358">
        <v>2017</v>
      </c>
      <c r="I102" s="358"/>
      <c r="J102" s="358">
        <v>2019</v>
      </c>
      <c r="K102" s="358"/>
      <c r="L102" s="358"/>
      <c r="M102" s="185" t="s">
        <v>298</v>
      </c>
      <c r="N102" s="1115">
        <v>5286</v>
      </c>
      <c r="O102" s="1115"/>
      <c r="P102" s="1115">
        <v>5286</v>
      </c>
      <c r="Q102" s="1115">
        <v>1400</v>
      </c>
      <c r="R102" s="1115"/>
      <c r="S102" s="1115">
        <v>1400</v>
      </c>
      <c r="T102" s="1115">
        <v>4757</v>
      </c>
      <c r="U102" s="1115">
        <v>3357</v>
      </c>
      <c r="V102" s="776">
        <f>VLOOKUP($B102,QD!$B$9:$L$316,10,0)</f>
        <v>1678</v>
      </c>
      <c r="W102" s="776">
        <v>1678.5</v>
      </c>
      <c r="X102" s="776">
        <v>50</v>
      </c>
      <c r="Y102" s="1116"/>
      <c r="Z102" s="776">
        <f t="shared" si="49"/>
        <v>1678</v>
      </c>
      <c r="AA102" s="775">
        <f t="shared" si="43"/>
        <v>3078</v>
      </c>
      <c r="AB102" s="775">
        <f t="shared" si="44"/>
        <v>1678</v>
      </c>
      <c r="AC102" s="775">
        <f t="shared" si="45"/>
        <v>3078</v>
      </c>
      <c r="AD102" s="775">
        <f t="shared" si="46"/>
        <v>4757</v>
      </c>
      <c r="AE102" s="775">
        <f t="shared" si="47"/>
        <v>1679</v>
      </c>
      <c r="AF102" s="1116"/>
      <c r="AG102" s="776"/>
      <c r="AH102" s="1526"/>
      <c r="AK102" s="747" t="s">
        <v>1976</v>
      </c>
      <c r="AL102" s="747"/>
      <c r="AM102" s="746"/>
      <c r="AN102" s="745" t="s">
        <v>2087</v>
      </c>
    </row>
    <row r="103" spans="1:40" ht="30" customHeight="1">
      <c r="A103" s="777">
        <v>75</v>
      </c>
      <c r="B103" s="1215" t="s">
        <v>886</v>
      </c>
      <c r="C103" s="1215"/>
      <c r="D103" s="1215"/>
      <c r="E103" s="1115" t="s">
        <v>348</v>
      </c>
      <c r="F103" s="780" t="s">
        <v>387</v>
      </c>
      <c r="G103" s="1215" t="s">
        <v>10</v>
      </c>
      <c r="H103" s="358">
        <v>2017</v>
      </c>
      <c r="I103" s="358"/>
      <c r="J103" s="358">
        <v>2019</v>
      </c>
      <c r="K103" s="358"/>
      <c r="L103" s="358"/>
      <c r="M103" s="224" t="s">
        <v>299</v>
      </c>
      <c r="N103" s="1115">
        <v>4000</v>
      </c>
      <c r="O103" s="1115"/>
      <c r="P103" s="1115">
        <v>4000</v>
      </c>
      <c r="Q103" s="1115">
        <v>1000</v>
      </c>
      <c r="R103" s="1115"/>
      <c r="S103" s="1115">
        <v>1000</v>
      </c>
      <c r="T103" s="1115">
        <v>3600</v>
      </c>
      <c r="U103" s="1115">
        <v>2600</v>
      </c>
      <c r="V103" s="776">
        <f>VLOOKUP($B103,QD!$B$9:$L$316,10,0)</f>
        <v>1300</v>
      </c>
      <c r="W103" s="776">
        <v>1300</v>
      </c>
      <c r="X103" s="776">
        <v>50</v>
      </c>
      <c r="Y103" s="1116"/>
      <c r="Z103" s="776">
        <f t="shared" si="49"/>
        <v>1300</v>
      </c>
      <c r="AA103" s="775">
        <f t="shared" si="43"/>
        <v>2300</v>
      </c>
      <c r="AB103" s="775">
        <f t="shared" si="44"/>
        <v>1300</v>
      </c>
      <c r="AC103" s="775">
        <f t="shared" si="45"/>
        <v>2300</v>
      </c>
      <c r="AD103" s="775">
        <f t="shared" si="46"/>
        <v>3600</v>
      </c>
      <c r="AE103" s="775">
        <f t="shared" si="47"/>
        <v>1300</v>
      </c>
      <c r="AF103" s="1116"/>
      <c r="AG103" s="776"/>
      <c r="AH103" s="1526"/>
      <c r="AK103" s="747" t="s">
        <v>1989</v>
      </c>
      <c r="AL103" s="747"/>
      <c r="AM103" s="746" t="s">
        <v>2080</v>
      </c>
      <c r="AN103" s="745" t="s">
        <v>2087</v>
      </c>
    </row>
    <row r="104" spans="1:40" ht="30" customHeight="1">
      <c r="A104" s="777">
        <v>76</v>
      </c>
      <c r="B104" s="1215" t="s">
        <v>300</v>
      </c>
      <c r="C104" s="1215"/>
      <c r="D104" s="1215"/>
      <c r="E104" s="1115" t="s">
        <v>348</v>
      </c>
      <c r="F104" s="780" t="s">
        <v>387</v>
      </c>
      <c r="G104" s="1215" t="s">
        <v>10</v>
      </c>
      <c r="H104" s="358">
        <v>2017</v>
      </c>
      <c r="I104" s="358"/>
      <c r="J104" s="358">
        <v>2019</v>
      </c>
      <c r="K104" s="358"/>
      <c r="L104" s="358"/>
      <c r="M104" s="224" t="s">
        <v>301</v>
      </c>
      <c r="N104" s="1115">
        <v>3500</v>
      </c>
      <c r="O104" s="1115"/>
      <c r="P104" s="1115">
        <v>3500</v>
      </c>
      <c r="Q104" s="1115">
        <v>800</v>
      </c>
      <c r="R104" s="1115"/>
      <c r="S104" s="1115">
        <v>800</v>
      </c>
      <c r="T104" s="1115">
        <v>3150</v>
      </c>
      <c r="U104" s="1115">
        <v>2350</v>
      </c>
      <c r="V104" s="776">
        <f>VLOOKUP($B104,QD!$B$9:$L$316,10,0)</f>
        <v>1175</v>
      </c>
      <c r="W104" s="776">
        <v>1175</v>
      </c>
      <c r="X104" s="776">
        <v>50</v>
      </c>
      <c r="Y104" s="1116"/>
      <c r="Z104" s="776">
        <f t="shared" si="49"/>
        <v>1175</v>
      </c>
      <c r="AA104" s="775">
        <f t="shared" si="43"/>
        <v>1975</v>
      </c>
      <c r="AB104" s="775">
        <f t="shared" si="44"/>
        <v>1175</v>
      </c>
      <c r="AC104" s="775">
        <f t="shared" si="45"/>
        <v>1975</v>
      </c>
      <c r="AD104" s="775">
        <f t="shared" si="46"/>
        <v>3150</v>
      </c>
      <c r="AE104" s="775">
        <f t="shared" si="47"/>
        <v>1175</v>
      </c>
      <c r="AF104" s="1116"/>
      <c r="AG104" s="776"/>
      <c r="AH104" s="1526"/>
      <c r="AK104" s="747" t="s">
        <v>1958</v>
      </c>
      <c r="AL104" s="747"/>
      <c r="AM104" s="746" t="s">
        <v>2080</v>
      </c>
      <c r="AN104" s="745" t="s">
        <v>2087</v>
      </c>
    </row>
    <row r="105" spans="1:40" ht="30" customHeight="1">
      <c r="A105" s="777">
        <v>77</v>
      </c>
      <c r="B105" s="1215" t="s">
        <v>879</v>
      </c>
      <c r="C105" s="1215"/>
      <c r="D105" s="1215"/>
      <c r="E105" s="1115" t="s">
        <v>348</v>
      </c>
      <c r="F105" s="780" t="s">
        <v>387</v>
      </c>
      <c r="G105" s="1215" t="s">
        <v>10</v>
      </c>
      <c r="H105" s="358">
        <v>2017</v>
      </c>
      <c r="I105" s="358"/>
      <c r="J105" s="358">
        <v>2019</v>
      </c>
      <c r="K105" s="358"/>
      <c r="L105" s="358"/>
      <c r="M105" s="224" t="s">
        <v>302</v>
      </c>
      <c r="N105" s="1115">
        <v>3900</v>
      </c>
      <c r="O105" s="1115"/>
      <c r="P105" s="1115">
        <v>3900</v>
      </c>
      <c r="Q105" s="1115">
        <v>1050</v>
      </c>
      <c r="R105" s="1115"/>
      <c r="S105" s="1115">
        <v>1050</v>
      </c>
      <c r="T105" s="1115">
        <v>3510</v>
      </c>
      <c r="U105" s="1115">
        <v>2460</v>
      </c>
      <c r="V105" s="776">
        <f>VLOOKUP($B105,QD!$B$9:$L$316,10,0)</f>
        <v>1230</v>
      </c>
      <c r="W105" s="776">
        <v>1230</v>
      </c>
      <c r="X105" s="776">
        <v>50</v>
      </c>
      <c r="Y105" s="1116"/>
      <c r="Z105" s="776">
        <f t="shared" si="49"/>
        <v>1230</v>
      </c>
      <c r="AA105" s="775">
        <f t="shared" si="43"/>
        <v>2280</v>
      </c>
      <c r="AB105" s="775">
        <f t="shared" si="44"/>
        <v>1230</v>
      </c>
      <c r="AC105" s="775">
        <f t="shared" si="45"/>
        <v>2280</v>
      </c>
      <c r="AD105" s="775">
        <f t="shared" si="46"/>
        <v>3510</v>
      </c>
      <c r="AE105" s="775">
        <f t="shared" si="47"/>
        <v>1230</v>
      </c>
      <c r="AF105" s="1116"/>
      <c r="AG105" s="776"/>
      <c r="AH105" s="1526"/>
      <c r="AK105" s="747" t="s">
        <v>1954</v>
      </c>
      <c r="AL105" s="747"/>
      <c r="AM105" s="746"/>
      <c r="AN105" s="745" t="s">
        <v>2087</v>
      </c>
    </row>
    <row r="106" spans="1:40" ht="30" customHeight="1">
      <c r="A106" s="777">
        <v>78</v>
      </c>
      <c r="B106" s="1215" t="s">
        <v>1603</v>
      </c>
      <c r="C106" s="1215"/>
      <c r="D106" s="1215"/>
      <c r="E106" s="1115" t="s">
        <v>348</v>
      </c>
      <c r="F106" s="780" t="s">
        <v>387</v>
      </c>
      <c r="G106" s="1215" t="s">
        <v>10</v>
      </c>
      <c r="H106" s="358">
        <v>2017</v>
      </c>
      <c r="I106" s="358"/>
      <c r="J106" s="358">
        <v>2019</v>
      </c>
      <c r="K106" s="358"/>
      <c r="L106" s="358"/>
      <c r="M106" s="185" t="s">
        <v>784</v>
      </c>
      <c r="N106" s="1115">
        <v>3450</v>
      </c>
      <c r="O106" s="1115"/>
      <c r="P106" s="1115">
        <v>3450</v>
      </c>
      <c r="Q106" s="1115">
        <v>950</v>
      </c>
      <c r="R106" s="1115"/>
      <c r="S106" s="1115">
        <v>950</v>
      </c>
      <c r="T106" s="1115">
        <v>3105</v>
      </c>
      <c r="U106" s="1115">
        <v>2155</v>
      </c>
      <c r="V106" s="776">
        <f>VLOOKUP($B106,QD!$B$9:$L$316,10,0)</f>
        <v>1078</v>
      </c>
      <c r="W106" s="776">
        <v>760</v>
      </c>
      <c r="X106" s="776">
        <v>100</v>
      </c>
      <c r="Y106" s="1116"/>
      <c r="Z106" s="776">
        <f t="shared" si="49"/>
        <v>1078</v>
      </c>
      <c r="AA106" s="775">
        <f t="shared" si="43"/>
        <v>2028</v>
      </c>
      <c r="AB106" s="775">
        <f t="shared" si="44"/>
        <v>1078</v>
      </c>
      <c r="AC106" s="775">
        <f t="shared" si="45"/>
        <v>2028</v>
      </c>
      <c r="AD106" s="775">
        <f t="shared" si="46"/>
        <v>3105</v>
      </c>
      <c r="AE106" s="775">
        <f t="shared" si="47"/>
        <v>1077</v>
      </c>
      <c r="AF106" s="1116"/>
      <c r="AG106" s="776"/>
      <c r="AH106" s="1526"/>
      <c r="AK106" s="747" t="s">
        <v>2024</v>
      </c>
      <c r="AL106" s="747"/>
      <c r="AM106" s="746"/>
    </row>
    <row r="107" spans="1:40" ht="30" customHeight="1">
      <c r="A107" s="777">
        <v>79</v>
      </c>
      <c r="B107" s="1215" t="s">
        <v>303</v>
      </c>
      <c r="C107" s="1215"/>
      <c r="D107" s="1215"/>
      <c r="E107" s="1115" t="s">
        <v>348</v>
      </c>
      <c r="F107" s="780" t="s">
        <v>387</v>
      </c>
      <c r="G107" s="778" t="s">
        <v>46</v>
      </c>
      <c r="H107" s="358">
        <v>2017</v>
      </c>
      <c r="I107" s="358"/>
      <c r="J107" s="358">
        <v>2019</v>
      </c>
      <c r="K107" s="358"/>
      <c r="L107" s="358"/>
      <c r="M107" s="185" t="s">
        <v>304</v>
      </c>
      <c r="N107" s="1115">
        <v>4795</v>
      </c>
      <c r="O107" s="1115"/>
      <c r="P107" s="1115">
        <v>4795</v>
      </c>
      <c r="Q107" s="1115">
        <v>1250</v>
      </c>
      <c r="R107" s="1115"/>
      <c r="S107" s="1115">
        <v>1250</v>
      </c>
      <c r="T107" s="1115">
        <v>4316</v>
      </c>
      <c r="U107" s="1115">
        <v>3066</v>
      </c>
      <c r="V107" s="776">
        <f>VLOOKUP($B107,QD!$B$9:$L$316,10,0)</f>
        <v>1533</v>
      </c>
      <c r="W107" s="776">
        <v>1533</v>
      </c>
      <c r="X107" s="776">
        <v>50</v>
      </c>
      <c r="Y107" s="1116"/>
      <c r="Z107" s="776">
        <f t="shared" si="49"/>
        <v>1533</v>
      </c>
      <c r="AA107" s="775">
        <f t="shared" si="43"/>
        <v>2783</v>
      </c>
      <c r="AB107" s="775">
        <f t="shared" si="44"/>
        <v>1533</v>
      </c>
      <c r="AC107" s="775">
        <f t="shared" si="45"/>
        <v>2783</v>
      </c>
      <c r="AD107" s="775">
        <f t="shared" si="46"/>
        <v>4316</v>
      </c>
      <c r="AE107" s="775">
        <f t="shared" si="47"/>
        <v>1533</v>
      </c>
      <c r="AF107" s="1116"/>
      <c r="AG107" s="776"/>
      <c r="AH107" s="1526"/>
      <c r="AK107" s="747" t="s">
        <v>2030</v>
      </c>
      <c r="AL107" s="747"/>
      <c r="AM107" s="746"/>
      <c r="AN107" s="745" t="s">
        <v>2087</v>
      </c>
    </row>
    <row r="108" spans="1:40" ht="30" customHeight="1">
      <c r="A108" s="777">
        <v>80</v>
      </c>
      <c r="B108" s="1215" t="s">
        <v>305</v>
      </c>
      <c r="C108" s="1215"/>
      <c r="D108" s="1215"/>
      <c r="E108" s="1115" t="s">
        <v>348</v>
      </c>
      <c r="F108" s="780" t="s">
        <v>387</v>
      </c>
      <c r="G108" s="778" t="s">
        <v>46</v>
      </c>
      <c r="H108" s="358">
        <v>2017</v>
      </c>
      <c r="I108" s="358"/>
      <c r="J108" s="358">
        <v>2019</v>
      </c>
      <c r="K108" s="358"/>
      <c r="L108" s="358"/>
      <c r="M108" s="185" t="s">
        <v>306</v>
      </c>
      <c r="N108" s="1115">
        <v>3946</v>
      </c>
      <c r="O108" s="1115"/>
      <c r="P108" s="1115">
        <v>3946</v>
      </c>
      <c r="Q108" s="1115">
        <v>1000</v>
      </c>
      <c r="R108" s="1115"/>
      <c r="S108" s="1115">
        <v>1000</v>
      </c>
      <c r="T108" s="1115">
        <v>3551</v>
      </c>
      <c r="U108" s="1115">
        <v>2551</v>
      </c>
      <c r="V108" s="776">
        <f>VLOOKUP($B108,QD!$B$9:$L$316,10,0)</f>
        <v>1275</v>
      </c>
      <c r="W108" s="776">
        <v>1275.5</v>
      </c>
      <c r="X108" s="776">
        <v>50</v>
      </c>
      <c r="Y108" s="1116"/>
      <c r="Z108" s="776">
        <f t="shared" si="49"/>
        <v>1275</v>
      </c>
      <c r="AA108" s="775">
        <f t="shared" si="43"/>
        <v>2275</v>
      </c>
      <c r="AB108" s="775">
        <f t="shared" si="44"/>
        <v>1275</v>
      </c>
      <c r="AC108" s="775">
        <f t="shared" si="45"/>
        <v>2275</v>
      </c>
      <c r="AD108" s="775">
        <f t="shared" si="46"/>
        <v>3551</v>
      </c>
      <c r="AE108" s="775">
        <f t="shared" si="47"/>
        <v>1276</v>
      </c>
      <c r="AF108" s="1116"/>
      <c r="AG108" s="776"/>
      <c r="AH108" s="1526"/>
      <c r="AK108" s="747" t="s">
        <v>2008</v>
      </c>
      <c r="AL108" s="747"/>
      <c r="AM108" s="746"/>
      <c r="AN108" s="745" t="s">
        <v>2087</v>
      </c>
    </row>
    <row r="109" spans="1:40" ht="30" customHeight="1">
      <c r="A109" s="777">
        <v>81</v>
      </c>
      <c r="B109" s="1215" t="s">
        <v>307</v>
      </c>
      <c r="C109" s="1215"/>
      <c r="D109" s="1215"/>
      <c r="E109" s="1115" t="s">
        <v>348</v>
      </c>
      <c r="F109" s="780" t="s">
        <v>387</v>
      </c>
      <c r="G109" s="778" t="s">
        <v>46</v>
      </c>
      <c r="H109" s="358">
        <v>2017</v>
      </c>
      <c r="I109" s="358"/>
      <c r="J109" s="358">
        <v>2019</v>
      </c>
      <c r="K109" s="358"/>
      <c r="L109" s="358"/>
      <c r="M109" s="185" t="s">
        <v>308</v>
      </c>
      <c r="N109" s="1115">
        <v>3045</v>
      </c>
      <c r="O109" s="1115"/>
      <c r="P109" s="1115">
        <v>3045</v>
      </c>
      <c r="Q109" s="1115">
        <v>850</v>
      </c>
      <c r="R109" s="1115"/>
      <c r="S109" s="1115">
        <v>850</v>
      </c>
      <c r="T109" s="1115">
        <v>2741</v>
      </c>
      <c r="U109" s="1115">
        <v>1891</v>
      </c>
      <c r="V109" s="776">
        <f>VLOOKUP($B109,QD!$B$9:$L$316,10,0)</f>
        <v>946</v>
      </c>
      <c r="W109" s="776">
        <v>945.5</v>
      </c>
      <c r="X109" s="776">
        <v>50</v>
      </c>
      <c r="Y109" s="1116"/>
      <c r="Z109" s="776">
        <f t="shared" si="49"/>
        <v>946</v>
      </c>
      <c r="AA109" s="775">
        <f t="shared" si="43"/>
        <v>1796</v>
      </c>
      <c r="AB109" s="775">
        <f t="shared" si="44"/>
        <v>946</v>
      </c>
      <c r="AC109" s="775">
        <f t="shared" si="45"/>
        <v>1796</v>
      </c>
      <c r="AD109" s="775">
        <f t="shared" si="46"/>
        <v>2741</v>
      </c>
      <c r="AE109" s="775">
        <f t="shared" si="47"/>
        <v>945</v>
      </c>
      <c r="AF109" s="1116"/>
      <c r="AG109" s="776"/>
      <c r="AH109" s="1526"/>
      <c r="AK109" s="747" t="s">
        <v>2005</v>
      </c>
      <c r="AL109" s="747"/>
      <c r="AM109" s="746"/>
      <c r="AN109" s="745" t="s">
        <v>2087</v>
      </c>
    </row>
    <row r="110" spans="1:40" ht="30" customHeight="1">
      <c r="A110" s="777">
        <v>82</v>
      </c>
      <c r="B110" s="1215" t="s">
        <v>309</v>
      </c>
      <c r="C110" s="1215"/>
      <c r="D110" s="1215"/>
      <c r="E110" s="1115" t="s">
        <v>348</v>
      </c>
      <c r="F110" s="780" t="s">
        <v>387</v>
      </c>
      <c r="G110" s="778" t="s">
        <v>46</v>
      </c>
      <c r="H110" s="358">
        <v>2017</v>
      </c>
      <c r="I110" s="358"/>
      <c r="J110" s="358">
        <v>2019</v>
      </c>
      <c r="K110" s="358"/>
      <c r="L110" s="358"/>
      <c r="M110" s="224" t="s">
        <v>310</v>
      </c>
      <c r="N110" s="1115">
        <v>3852</v>
      </c>
      <c r="O110" s="1115"/>
      <c r="P110" s="1115">
        <v>3852</v>
      </c>
      <c r="Q110" s="1115">
        <v>1000</v>
      </c>
      <c r="R110" s="1115"/>
      <c r="S110" s="1115">
        <v>1000</v>
      </c>
      <c r="T110" s="1115">
        <v>3467</v>
      </c>
      <c r="U110" s="1115">
        <v>2467</v>
      </c>
      <c r="V110" s="776">
        <f>VLOOKUP($B110,QD!$B$9:$L$316,10,0)</f>
        <v>1233</v>
      </c>
      <c r="W110" s="776">
        <v>1233.5</v>
      </c>
      <c r="X110" s="776">
        <v>50</v>
      </c>
      <c r="Y110" s="1116"/>
      <c r="Z110" s="776">
        <f t="shared" si="49"/>
        <v>1233</v>
      </c>
      <c r="AA110" s="775">
        <f t="shared" si="43"/>
        <v>2233</v>
      </c>
      <c r="AB110" s="775">
        <f t="shared" si="44"/>
        <v>1233</v>
      </c>
      <c r="AC110" s="775">
        <f t="shared" si="45"/>
        <v>2233</v>
      </c>
      <c r="AD110" s="775">
        <f t="shared" si="46"/>
        <v>3467</v>
      </c>
      <c r="AE110" s="775">
        <f t="shared" si="47"/>
        <v>1234</v>
      </c>
      <c r="AF110" s="1116"/>
      <c r="AG110" s="776"/>
      <c r="AH110" s="1526"/>
      <c r="AK110" s="747" t="s">
        <v>2031</v>
      </c>
      <c r="AL110" s="747"/>
      <c r="AM110" s="746"/>
      <c r="AN110" s="745" t="s">
        <v>2087</v>
      </c>
    </row>
    <row r="111" spans="1:40" ht="30" customHeight="1">
      <c r="A111" s="777">
        <v>83</v>
      </c>
      <c r="B111" s="1215" t="s">
        <v>311</v>
      </c>
      <c r="C111" s="1215"/>
      <c r="D111" s="1215"/>
      <c r="E111" s="1115" t="s">
        <v>348</v>
      </c>
      <c r="F111" s="780" t="s">
        <v>387</v>
      </c>
      <c r="G111" s="778" t="s">
        <v>46</v>
      </c>
      <c r="H111" s="358">
        <v>2017</v>
      </c>
      <c r="I111" s="358"/>
      <c r="J111" s="358">
        <v>2019</v>
      </c>
      <c r="K111" s="358"/>
      <c r="L111" s="358"/>
      <c r="M111" s="185" t="s">
        <v>312</v>
      </c>
      <c r="N111" s="1115">
        <v>4000</v>
      </c>
      <c r="O111" s="1115"/>
      <c r="P111" s="1115">
        <v>4000</v>
      </c>
      <c r="Q111" s="1115">
        <v>1050</v>
      </c>
      <c r="R111" s="1115"/>
      <c r="S111" s="1115">
        <v>1050</v>
      </c>
      <c r="T111" s="1115">
        <v>3600</v>
      </c>
      <c r="U111" s="1115">
        <v>2550</v>
      </c>
      <c r="V111" s="776">
        <f>VLOOKUP($B111,QD!$B$9:$L$316,10,0)</f>
        <v>1275</v>
      </c>
      <c r="W111" s="776">
        <v>1275</v>
      </c>
      <c r="X111" s="776">
        <v>50</v>
      </c>
      <c r="Y111" s="1116"/>
      <c r="Z111" s="776">
        <f t="shared" si="49"/>
        <v>1275</v>
      </c>
      <c r="AA111" s="775">
        <f t="shared" si="43"/>
        <v>2325</v>
      </c>
      <c r="AB111" s="775">
        <f t="shared" si="44"/>
        <v>1275</v>
      </c>
      <c r="AC111" s="775">
        <f t="shared" si="45"/>
        <v>2325</v>
      </c>
      <c r="AD111" s="775">
        <f t="shared" si="46"/>
        <v>3600</v>
      </c>
      <c r="AE111" s="775">
        <f t="shared" si="47"/>
        <v>1275</v>
      </c>
      <c r="AF111" s="1116"/>
      <c r="AG111" s="776"/>
      <c r="AH111" s="1526"/>
      <c r="AK111" s="747" t="s">
        <v>2109</v>
      </c>
      <c r="AL111" s="747"/>
      <c r="AM111" s="746"/>
    </row>
    <row r="112" spans="1:40" ht="38.25">
      <c r="A112" s="777">
        <v>84</v>
      </c>
      <c r="B112" s="1215" t="s">
        <v>313</v>
      </c>
      <c r="C112" s="1215"/>
      <c r="D112" s="1215"/>
      <c r="E112" s="1115" t="s">
        <v>348</v>
      </c>
      <c r="F112" s="780" t="s">
        <v>387</v>
      </c>
      <c r="G112" s="1236" t="s">
        <v>9</v>
      </c>
      <c r="H112" s="358">
        <v>2017</v>
      </c>
      <c r="I112" s="358"/>
      <c r="J112" s="358">
        <v>2019</v>
      </c>
      <c r="K112" s="358"/>
      <c r="L112" s="358"/>
      <c r="M112" s="224" t="s">
        <v>314</v>
      </c>
      <c r="N112" s="1115">
        <v>11424</v>
      </c>
      <c r="O112" s="1115"/>
      <c r="P112" s="1115">
        <v>11424</v>
      </c>
      <c r="Q112" s="1115">
        <v>3000</v>
      </c>
      <c r="R112" s="1115"/>
      <c r="S112" s="1115">
        <v>3000</v>
      </c>
      <c r="T112" s="1115">
        <v>10282</v>
      </c>
      <c r="U112" s="1115">
        <v>7282</v>
      </c>
      <c r="V112" s="776">
        <f>VLOOKUP($B112,QD!$B$9:$L$316,10,0)</f>
        <v>3641</v>
      </c>
      <c r="W112" s="776">
        <v>3641</v>
      </c>
      <c r="X112" s="776">
        <v>50</v>
      </c>
      <c r="Y112" s="1116"/>
      <c r="Z112" s="776">
        <f t="shared" si="49"/>
        <v>3641</v>
      </c>
      <c r="AA112" s="775">
        <f t="shared" si="43"/>
        <v>6641</v>
      </c>
      <c r="AB112" s="775">
        <f t="shared" si="44"/>
        <v>3641</v>
      </c>
      <c r="AC112" s="775">
        <f t="shared" si="45"/>
        <v>6641</v>
      </c>
      <c r="AD112" s="775">
        <f t="shared" si="46"/>
        <v>10282</v>
      </c>
      <c r="AE112" s="775">
        <f t="shared" si="47"/>
        <v>3641</v>
      </c>
      <c r="AF112" s="1116"/>
      <c r="AG112" s="776"/>
      <c r="AH112" s="1526"/>
      <c r="AK112" s="747" t="s">
        <v>1978</v>
      </c>
      <c r="AL112" s="747"/>
      <c r="AM112" s="746"/>
    </row>
    <row r="113" spans="1:40" ht="30" customHeight="1">
      <c r="A113" s="816" t="s">
        <v>477</v>
      </c>
      <c r="B113" s="817" t="s">
        <v>536</v>
      </c>
      <c r="C113" s="817"/>
      <c r="D113" s="817"/>
      <c r="E113" s="818"/>
      <c r="F113" s="819"/>
      <c r="G113" s="751"/>
      <c r="H113" s="820"/>
      <c r="I113" s="820"/>
      <c r="J113" s="820"/>
      <c r="K113" s="820"/>
      <c r="L113" s="820"/>
      <c r="M113" s="241"/>
      <c r="N113" s="752">
        <f>SUBTOTAL(109,N114:N148)</f>
        <v>162523</v>
      </c>
      <c r="O113" s="752">
        <f t="shared" ref="O113:Y113" si="50">SUBTOTAL(109,O114:O148)</f>
        <v>0</v>
      </c>
      <c r="P113" s="752">
        <f t="shared" si="50"/>
        <v>140281</v>
      </c>
      <c r="Q113" s="752">
        <f t="shared" si="50"/>
        <v>1070</v>
      </c>
      <c r="R113" s="752">
        <f t="shared" si="50"/>
        <v>0</v>
      </c>
      <c r="S113" s="752">
        <f t="shared" si="50"/>
        <v>1070</v>
      </c>
      <c r="T113" s="752">
        <f t="shared" si="50"/>
        <v>126451</v>
      </c>
      <c r="U113" s="752">
        <f t="shared" si="50"/>
        <v>125381</v>
      </c>
      <c r="V113" s="752">
        <f t="shared" si="50"/>
        <v>39847.800000000003</v>
      </c>
      <c r="W113" s="752">
        <v>39847.800000000003</v>
      </c>
      <c r="X113" s="752"/>
      <c r="Y113" s="752">
        <f t="shared" si="50"/>
        <v>1500</v>
      </c>
      <c r="Z113" s="776">
        <f t="shared" si="49"/>
        <v>41347.800000000003</v>
      </c>
      <c r="AA113" s="752">
        <f t="shared" ref="AA113:AE113" si="51">SUBTOTAL(109,AA114:AA148)</f>
        <v>42417.8</v>
      </c>
      <c r="AB113" s="752">
        <f t="shared" si="51"/>
        <v>41347.800000000003</v>
      </c>
      <c r="AC113" s="752">
        <f t="shared" si="51"/>
        <v>42417.8</v>
      </c>
      <c r="AD113" s="752">
        <f t="shared" si="51"/>
        <v>126451</v>
      </c>
      <c r="AE113" s="752">
        <f t="shared" si="51"/>
        <v>84033.2</v>
      </c>
      <c r="AF113" s="753"/>
      <c r="AG113" s="776"/>
      <c r="AH113" s="1535" t="s">
        <v>771</v>
      </c>
      <c r="AK113" s="747"/>
      <c r="AL113" s="747"/>
      <c r="AM113" s="746"/>
    </row>
    <row r="114" spans="1:40" s="1173" customFormat="1" ht="30" customHeight="1">
      <c r="A114" s="1117">
        <v>1</v>
      </c>
      <c r="B114" s="1536" t="s">
        <v>475</v>
      </c>
      <c r="C114" s="1536"/>
      <c r="D114" s="1536"/>
      <c r="E114" s="1125" t="s">
        <v>348</v>
      </c>
      <c r="F114" s="1537" t="s">
        <v>387</v>
      </c>
      <c r="G114" s="1538" t="s">
        <v>46</v>
      </c>
      <c r="H114" s="1122">
        <v>2018</v>
      </c>
      <c r="I114" s="1122"/>
      <c r="J114" s="1122">
        <v>2020</v>
      </c>
      <c r="K114" s="1122"/>
      <c r="L114" s="1122"/>
      <c r="M114" s="774" t="s">
        <v>594</v>
      </c>
      <c r="N114" s="1125">
        <v>4000</v>
      </c>
      <c r="O114" s="1125"/>
      <c r="P114" s="1125">
        <v>4000</v>
      </c>
      <c r="Q114" s="1125">
        <v>40</v>
      </c>
      <c r="R114" s="1125"/>
      <c r="S114" s="1125">
        <v>40</v>
      </c>
      <c r="T114" s="1125">
        <v>3600</v>
      </c>
      <c r="U114" s="1125">
        <f t="shared" ref="U114:U148" si="52">T114-Q114</f>
        <v>3560</v>
      </c>
      <c r="V114" s="776">
        <f>VLOOKUP($B114,QD!$B$9:$L$316,10,0)</f>
        <v>1068</v>
      </c>
      <c r="W114" s="776">
        <v>1068</v>
      </c>
      <c r="X114" s="776">
        <v>30</v>
      </c>
      <c r="Y114" s="1126"/>
      <c r="Z114" s="776">
        <f t="shared" si="49"/>
        <v>1068</v>
      </c>
      <c r="AA114" s="775">
        <f t="shared" ref="AA114" si="53">Q114+$Z114</f>
        <v>1108</v>
      </c>
      <c r="AB114" s="775">
        <f t="shared" ref="AB114" si="54">R114+$Z114</f>
        <v>1068</v>
      </c>
      <c r="AC114" s="775">
        <f t="shared" ref="AC114" si="55">S114+$Z114</f>
        <v>1108</v>
      </c>
      <c r="AD114" s="775">
        <f t="shared" ref="AD114" si="56">T114</f>
        <v>3600</v>
      </c>
      <c r="AE114" s="775">
        <f t="shared" ref="AE114" si="57">U114-Z114</f>
        <v>2492</v>
      </c>
      <c r="AF114" s="1126"/>
      <c r="AG114" s="821"/>
      <c r="AH114" s="1535" t="s">
        <v>771</v>
      </c>
      <c r="AK114" s="1174" t="s">
        <v>2032</v>
      </c>
      <c r="AL114" s="1174"/>
      <c r="AM114" s="832"/>
      <c r="AN114" s="1173" t="s">
        <v>2087</v>
      </c>
    </row>
    <row r="115" spans="1:40" s="1173" customFormat="1" ht="30" customHeight="1">
      <c r="A115" s="1117">
        <v>2</v>
      </c>
      <c r="B115" s="1538" t="s">
        <v>315</v>
      </c>
      <c r="C115" s="1538"/>
      <c r="D115" s="1538"/>
      <c r="E115" s="1125" t="s">
        <v>348</v>
      </c>
      <c r="F115" s="1537" t="s">
        <v>387</v>
      </c>
      <c r="G115" s="1539" t="s">
        <v>33</v>
      </c>
      <c r="H115" s="1122">
        <v>2018</v>
      </c>
      <c r="I115" s="1122"/>
      <c r="J115" s="1122">
        <v>2020</v>
      </c>
      <c r="K115" s="1122"/>
      <c r="L115" s="1540" t="s">
        <v>436</v>
      </c>
      <c r="M115" s="774" t="s">
        <v>758</v>
      </c>
      <c r="N115" s="1125">
        <v>4000</v>
      </c>
      <c r="O115" s="1125"/>
      <c r="P115" s="1125">
        <v>4000</v>
      </c>
      <c r="Q115" s="1125">
        <v>40</v>
      </c>
      <c r="R115" s="1125"/>
      <c r="S115" s="1125">
        <v>40</v>
      </c>
      <c r="T115" s="1125">
        <v>3600</v>
      </c>
      <c r="U115" s="1125">
        <f t="shared" si="52"/>
        <v>3560</v>
      </c>
      <c r="V115" s="776">
        <f>VLOOKUP($B115,QD!$B$9:$L$316,10,0)</f>
        <v>1068</v>
      </c>
      <c r="W115" s="776">
        <v>1068</v>
      </c>
      <c r="X115" s="776">
        <v>30</v>
      </c>
      <c r="Y115" s="1126"/>
      <c r="Z115" s="776">
        <f t="shared" si="49"/>
        <v>1068</v>
      </c>
      <c r="AA115" s="775">
        <f t="shared" ref="AA115:AA148" si="58">Q115+$Z115</f>
        <v>1108</v>
      </c>
      <c r="AB115" s="775">
        <f t="shared" ref="AB115:AB148" si="59">R115+$Z115</f>
        <v>1068</v>
      </c>
      <c r="AC115" s="775">
        <f t="shared" ref="AC115:AC148" si="60">S115+$Z115</f>
        <v>1108</v>
      </c>
      <c r="AD115" s="775">
        <f t="shared" ref="AD115:AD148" si="61">T115</f>
        <v>3600</v>
      </c>
      <c r="AE115" s="775">
        <f t="shared" ref="AE115:AE148" si="62">U115-Z115</f>
        <v>2492</v>
      </c>
      <c r="AF115" s="1126"/>
      <c r="AG115" s="821"/>
      <c r="AH115" s="1535" t="s">
        <v>771</v>
      </c>
      <c r="AK115" s="1174" t="s">
        <v>2033</v>
      </c>
      <c r="AL115" s="1174"/>
      <c r="AM115" s="832"/>
    </row>
    <row r="116" spans="1:40" s="1173" customFormat="1" ht="52.5" customHeight="1">
      <c r="A116" s="1117">
        <v>88</v>
      </c>
      <c r="B116" s="1538" t="s">
        <v>492</v>
      </c>
      <c r="C116" s="1538"/>
      <c r="D116" s="1538"/>
      <c r="E116" s="1125" t="s">
        <v>348</v>
      </c>
      <c r="F116" s="1537" t="s">
        <v>387</v>
      </c>
      <c r="G116" s="1539" t="s">
        <v>33</v>
      </c>
      <c r="H116" s="1122">
        <v>2018</v>
      </c>
      <c r="I116" s="1122"/>
      <c r="J116" s="1122">
        <v>2020</v>
      </c>
      <c r="K116" s="1122"/>
      <c r="L116" s="1540"/>
      <c r="M116" s="774" t="s">
        <v>530</v>
      </c>
      <c r="N116" s="1125">
        <v>3996</v>
      </c>
      <c r="O116" s="1125"/>
      <c r="P116" s="1125">
        <v>3996</v>
      </c>
      <c r="Q116" s="1125">
        <v>40</v>
      </c>
      <c r="R116" s="1125"/>
      <c r="S116" s="1125">
        <v>40</v>
      </c>
      <c r="T116" s="1125">
        <v>3596</v>
      </c>
      <c r="U116" s="1125">
        <f>T116-Q116</f>
        <v>3556</v>
      </c>
      <c r="V116" s="776">
        <f>VLOOKUP($B116,QD!$B$9:$L$316,10,0)</f>
        <v>1066.8</v>
      </c>
      <c r="W116" s="776">
        <v>1066.8</v>
      </c>
      <c r="X116" s="776">
        <v>30</v>
      </c>
      <c r="Y116" s="1126"/>
      <c r="Z116" s="776">
        <f t="shared" si="49"/>
        <v>1066.8</v>
      </c>
      <c r="AA116" s="775">
        <f t="shared" si="58"/>
        <v>1106.8</v>
      </c>
      <c r="AB116" s="775">
        <f t="shared" si="59"/>
        <v>1066.8</v>
      </c>
      <c r="AC116" s="775">
        <f t="shared" si="60"/>
        <v>1106.8</v>
      </c>
      <c r="AD116" s="775">
        <f t="shared" si="61"/>
        <v>3596</v>
      </c>
      <c r="AE116" s="775">
        <f t="shared" si="62"/>
        <v>2489.1999999999998</v>
      </c>
      <c r="AF116" s="1126"/>
      <c r="AG116" s="821"/>
      <c r="AH116" s="1535" t="s">
        <v>771</v>
      </c>
      <c r="AK116" s="1174" t="s">
        <v>2033</v>
      </c>
      <c r="AL116" s="1174"/>
      <c r="AM116" s="832"/>
    </row>
    <row r="117" spans="1:40" s="1173" customFormat="1" ht="30" customHeight="1">
      <c r="A117" s="1117">
        <v>89</v>
      </c>
      <c r="B117" s="1538" t="s">
        <v>316</v>
      </c>
      <c r="C117" s="1538"/>
      <c r="D117" s="1538"/>
      <c r="E117" s="1125" t="s">
        <v>348</v>
      </c>
      <c r="F117" s="1537" t="s">
        <v>387</v>
      </c>
      <c r="G117" s="1536" t="s">
        <v>26</v>
      </c>
      <c r="H117" s="1122">
        <v>2018</v>
      </c>
      <c r="I117" s="1122"/>
      <c r="J117" s="1122">
        <v>2020</v>
      </c>
      <c r="K117" s="1122"/>
      <c r="L117" s="1540" t="s">
        <v>437</v>
      </c>
      <c r="M117" s="774" t="s">
        <v>531</v>
      </c>
      <c r="N117" s="1125">
        <v>1650</v>
      </c>
      <c r="O117" s="1125"/>
      <c r="P117" s="1125">
        <v>1650</v>
      </c>
      <c r="Q117" s="1125">
        <v>30</v>
      </c>
      <c r="R117" s="1125"/>
      <c r="S117" s="1125">
        <v>30</v>
      </c>
      <c r="T117" s="1125">
        <v>1485</v>
      </c>
      <c r="U117" s="1125">
        <f t="shared" si="52"/>
        <v>1455</v>
      </c>
      <c r="V117" s="776">
        <f>VLOOKUP($B117,QD!$B$9:$L$316,10,0)</f>
        <v>1455</v>
      </c>
      <c r="W117" s="776">
        <v>1455</v>
      </c>
      <c r="X117" s="776">
        <v>100</v>
      </c>
      <c r="Y117" s="1126"/>
      <c r="Z117" s="776">
        <f t="shared" si="49"/>
        <v>1455</v>
      </c>
      <c r="AA117" s="775">
        <f t="shared" si="58"/>
        <v>1485</v>
      </c>
      <c r="AB117" s="775">
        <f t="shared" si="59"/>
        <v>1455</v>
      </c>
      <c r="AC117" s="775">
        <f t="shared" si="60"/>
        <v>1485</v>
      </c>
      <c r="AD117" s="775">
        <f t="shared" si="61"/>
        <v>1485</v>
      </c>
      <c r="AE117" s="775">
        <f t="shared" si="62"/>
        <v>0</v>
      </c>
      <c r="AF117" s="1126"/>
      <c r="AG117" s="821"/>
      <c r="AH117" s="1535" t="s">
        <v>771</v>
      </c>
      <c r="AK117" s="1174" t="s">
        <v>2034</v>
      </c>
      <c r="AL117" s="1174"/>
      <c r="AM117" s="832" t="s">
        <v>2081</v>
      </c>
      <c r="AN117" s="1173" t="s">
        <v>2087</v>
      </c>
    </row>
    <row r="118" spans="1:40" s="1173" customFormat="1" ht="45.75" customHeight="1">
      <c r="A118" s="1117">
        <v>90</v>
      </c>
      <c r="B118" s="1536" t="s">
        <v>460</v>
      </c>
      <c r="C118" s="1536"/>
      <c r="D118" s="1536"/>
      <c r="E118" s="1125" t="s">
        <v>348</v>
      </c>
      <c r="F118" s="1537" t="s">
        <v>387</v>
      </c>
      <c r="G118" s="1539" t="s">
        <v>33</v>
      </c>
      <c r="H118" s="1122">
        <v>2018</v>
      </c>
      <c r="I118" s="1122"/>
      <c r="J118" s="1122">
        <v>2020</v>
      </c>
      <c r="K118" s="1122"/>
      <c r="L118" s="1541" t="s">
        <v>438</v>
      </c>
      <c r="M118" s="774" t="s">
        <v>759</v>
      </c>
      <c r="N118" s="1125">
        <v>6500</v>
      </c>
      <c r="O118" s="1125"/>
      <c r="P118" s="1125">
        <v>6500</v>
      </c>
      <c r="Q118" s="1125">
        <v>60</v>
      </c>
      <c r="R118" s="1125"/>
      <c r="S118" s="1125">
        <v>60</v>
      </c>
      <c r="T118" s="1125">
        <v>5850</v>
      </c>
      <c r="U118" s="1125">
        <f t="shared" si="52"/>
        <v>5790</v>
      </c>
      <c r="V118" s="776">
        <f>VLOOKUP($B118,QD!$B$9:$L$316,10,0)</f>
        <v>1737</v>
      </c>
      <c r="W118" s="776">
        <v>1737</v>
      </c>
      <c r="X118" s="776">
        <v>30</v>
      </c>
      <c r="Y118" s="1126"/>
      <c r="Z118" s="776">
        <f t="shared" si="49"/>
        <v>1737</v>
      </c>
      <c r="AA118" s="775">
        <f t="shared" si="58"/>
        <v>1797</v>
      </c>
      <c r="AB118" s="775">
        <f t="shared" si="59"/>
        <v>1737</v>
      </c>
      <c r="AC118" s="775">
        <f t="shared" si="60"/>
        <v>1797</v>
      </c>
      <c r="AD118" s="775">
        <f t="shared" si="61"/>
        <v>5850</v>
      </c>
      <c r="AE118" s="775">
        <f t="shared" si="62"/>
        <v>4053</v>
      </c>
      <c r="AF118" s="1126"/>
      <c r="AG118" s="821"/>
      <c r="AH118" s="1535" t="s">
        <v>771</v>
      </c>
      <c r="AK118" s="1174" t="s">
        <v>1995</v>
      </c>
      <c r="AL118" s="1174"/>
      <c r="AM118" s="832"/>
      <c r="AN118" s="1173" t="s">
        <v>2087</v>
      </c>
    </row>
    <row r="119" spans="1:40" s="1173" customFormat="1" ht="30" customHeight="1">
      <c r="A119" s="1117">
        <v>92</v>
      </c>
      <c r="B119" s="1536" t="s">
        <v>317</v>
      </c>
      <c r="C119" s="1536"/>
      <c r="D119" s="1536"/>
      <c r="E119" s="1125" t="s">
        <v>348</v>
      </c>
      <c r="F119" s="1537" t="s">
        <v>387</v>
      </c>
      <c r="G119" s="1220" t="s">
        <v>17</v>
      </c>
      <c r="H119" s="1122">
        <v>2018</v>
      </c>
      <c r="I119" s="1122"/>
      <c r="J119" s="1122">
        <v>2020</v>
      </c>
      <c r="K119" s="1122"/>
      <c r="L119" s="1540" t="s">
        <v>439</v>
      </c>
      <c r="M119" s="774" t="s">
        <v>767</v>
      </c>
      <c r="N119" s="1125">
        <v>3700</v>
      </c>
      <c r="O119" s="1125"/>
      <c r="P119" s="1125">
        <v>3700</v>
      </c>
      <c r="Q119" s="1125">
        <v>40</v>
      </c>
      <c r="R119" s="1125"/>
      <c r="S119" s="1125">
        <v>40</v>
      </c>
      <c r="T119" s="1125">
        <v>3330</v>
      </c>
      <c r="U119" s="1125">
        <f t="shared" si="52"/>
        <v>3290</v>
      </c>
      <c r="V119" s="776">
        <f>VLOOKUP($B119,QD!$B$9:$L$316,10,0)</f>
        <v>987</v>
      </c>
      <c r="W119" s="776">
        <v>987</v>
      </c>
      <c r="X119" s="776">
        <v>30</v>
      </c>
      <c r="Y119" s="1126"/>
      <c r="Z119" s="776">
        <f t="shared" si="49"/>
        <v>987</v>
      </c>
      <c r="AA119" s="775">
        <f t="shared" si="58"/>
        <v>1027</v>
      </c>
      <c r="AB119" s="775">
        <f t="shared" si="59"/>
        <v>987</v>
      </c>
      <c r="AC119" s="775">
        <f t="shared" si="60"/>
        <v>1027</v>
      </c>
      <c r="AD119" s="775">
        <f t="shared" si="61"/>
        <v>3330</v>
      </c>
      <c r="AE119" s="775">
        <f t="shared" si="62"/>
        <v>2303</v>
      </c>
      <c r="AF119" s="1126"/>
      <c r="AG119" s="821"/>
      <c r="AH119" s="1535" t="s">
        <v>771</v>
      </c>
      <c r="AK119" s="1174" t="s">
        <v>2001</v>
      </c>
      <c r="AL119" s="1174"/>
      <c r="AM119" s="832" t="s">
        <v>2081</v>
      </c>
      <c r="AN119" s="1173" t="s">
        <v>2087</v>
      </c>
    </row>
    <row r="120" spans="1:40" s="1173" customFormat="1" ht="30" customHeight="1">
      <c r="A120" s="1117">
        <v>93</v>
      </c>
      <c r="B120" s="1536" t="s">
        <v>1053</v>
      </c>
      <c r="C120" s="1536"/>
      <c r="D120" s="1536"/>
      <c r="E120" s="1125" t="s">
        <v>348</v>
      </c>
      <c r="F120" s="1537" t="s">
        <v>387</v>
      </c>
      <c r="G120" s="1542" t="s">
        <v>44</v>
      </c>
      <c r="H120" s="1122">
        <v>2018</v>
      </c>
      <c r="I120" s="1122"/>
      <c r="J120" s="1122">
        <v>2020</v>
      </c>
      <c r="K120" s="1122"/>
      <c r="L120" s="1540" t="s">
        <v>440</v>
      </c>
      <c r="M120" s="774" t="s">
        <v>595</v>
      </c>
      <c r="N120" s="1125">
        <v>1200</v>
      </c>
      <c r="O120" s="1125"/>
      <c r="P120" s="1125">
        <v>1200</v>
      </c>
      <c r="Q120" s="1125">
        <v>30</v>
      </c>
      <c r="R120" s="1125"/>
      <c r="S120" s="1125">
        <v>30</v>
      </c>
      <c r="T120" s="1125">
        <v>1080</v>
      </c>
      <c r="U120" s="1125">
        <f t="shared" si="52"/>
        <v>1050</v>
      </c>
      <c r="V120" s="776">
        <f>VLOOKUP($B120,QD!$B$9:$L$316,10,0)</f>
        <v>1050</v>
      </c>
      <c r="W120" s="776">
        <v>1050</v>
      </c>
      <c r="X120" s="776">
        <v>100</v>
      </c>
      <c r="Y120" s="1126"/>
      <c r="Z120" s="776">
        <f t="shared" si="49"/>
        <v>1050</v>
      </c>
      <c r="AA120" s="775">
        <f t="shared" si="58"/>
        <v>1080</v>
      </c>
      <c r="AB120" s="775">
        <f t="shared" si="59"/>
        <v>1050</v>
      </c>
      <c r="AC120" s="775">
        <f t="shared" si="60"/>
        <v>1080</v>
      </c>
      <c r="AD120" s="775">
        <f t="shared" si="61"/>
        <v>1080</v>
      </c>
      <c r="AE120" s="775">
        <f t="shared" si="62"/>
        <v>0</v>
      </c>
      <c r="AF120" s="1126"/>
      <c r="AG120" s="821"/>
      <c r="AH120" s="1535" t="s">
        <v>771</v>
      </c>
      <c r="AK120" s="1174" t="s">
        <v>2035</v>
      </c>
      <c r="AL120" s="1174"/>
      <c r="AM120" s="832"/>
    </row>
    <row r="121" spans="1:40" s="1173" customFormat="1" ht="30" customHeight="1">
      <c r="A121" s="1117">
        <v>94</v>
      </c>
      <c r="B121" s="1536" t="s">
        <v>596</v>
      </c>
      <c r="C121" s="1536"/>
      <c r="D121" s="1536"/>
      <c r="E121" s="1125" t="s">
        <v>348</v>
      </c>
      <c r="F121" s="1537" t="s">
        <v>387</v>
      </c>
      <c r="G121" s="1542" t="s">
        <v>44</v>
      </c>
      <c r="H121" s="1122">
        <v>2018</v>
      </c>
      <c r="I121" s="1122"/>
      <c r="J121" s="1122">
        <v>2020</v>
      </c>
      <c r="K121" s="1122"/>
      <c r="L121" s="1540" t="s">
        <v>441</v>
      </c>
      <c r="M121" s="774" t="s">
        <v>597</v>
      </c>
      <c r="N121" s="1125">
        <v>5700</v>
      </c>
      <c r="O121" s="1125"/>
      <c r="P121" s="1125">
        <v>5700</v>
      </c>
      <c r="Q121" s="1125">
        <v>50</v>
      </c>
      <c r="R121" s="1125"/>
      <c r="S121" s="1125">
        <v>50</v>
      </c>
      <c r="T121" s="1125">
        <v>5130</v>
      </c>
      <c r="U121" s="1125">
        <f t="shared" si="52"/>
        <v>5080</v>
      </c>
      <c r="V121" s="776">
        <f>VLOOKUP($B121,QD!$B$9:$L$316,10,0)</f>
        <v>1524</v>
      </c>
      <c r="W121" s="776">
        <v>1524</v>
      </c>
      <c r="X121" s="776">
        <v>30</v>
      </c>
      <c r="Y121" s="1126">
        <v>1500</v>
      </c>
      <c r="Z121" s="776">
        <f t="shared" si="49"/>
        <v>3024</v>
      </c>
      <c r="AA121" s="775">
        <f t="shared" si="58"/>
        <v>3074</v>
      </c>
      <c r="AB121" s="775">
        <f t="shared" si="59"/>
        <v>3024</v>
      </c>
      <c r="AC121" s="775">
        <f t="shared" si="60"/>
        <v>3074</v>
      </c>
      <c r="AD121" s="775">
        <f t="shared" si="61"/>
        <v>5130</v>
      </c>
      <c r="AE121" s="775">
        <f t="shared" si="62"/>
        <v>2056</v>
      </c>
      <c r="AF121" s="1126"/>
      <c r="AG121" s="821"/>
      <c r="AH121" s="1535" t="s">
        <v>771</v>
      </c>
      <c r="AI121" s="822" t="s">
        <v>2086</v>
      </c>
      <c r="AK121" s="1174" t="s">
        <v>2035</v>
      </c>
      <c r="AL121" s="1174"/>
      <c r="AM121" s="832"/>
    </row>
    <row r="122" spans="1:40" s="1173" customFormat="1" ht="30" customHeight="1">
      <c r="A122" s="1117">
        <v>95</v>
      </c>
      <c r="B122" s="1536" t="s">
        <v>638</v>
      </c>
      <c r="C122" s="1536"/>
      <c r="D122" s="1536"/>
      <c r="E122" s="1125" t="s">
        <v>348</v>
      </c>
      <c r="F122" s="1537" t="s">
        <v>387</v>
      </c>
      <c r="G122" s="1220" t="s">
        <v>49</v>
      </c>
      <c r="H122" s="1122">
        <v>2018</v>
      </c>
      <c r="I122" s="1122"/>
      <c r="J122" s="1122">
        <v>2020</v>
      </c>
      <c r="K122" s="1122"/>
      <c r="L122" s="1540" t="s">
        <v>442</v>
      </c>
      <c r="M122" s="774" t="s">
        <v>754</v>
      </c>
      <c r="N122" s="1125">
        <v>6000</v>
      </c>
      <c r="O122" s="1125"/>
      <c r="P122" s="1125">
        <v>5000</v>
      </c>
      <c r="Q122" s="1125">
        <v>60</v>
      </c>
      <c r="R122" s="1125"/>
      <c r="S122" s="1125">
        <v>60</v>
      </c>
      <c r="T122" s="1125">
        <v>4500</v>
      </c>
      <c r="U122" s="1125">
        <f t="shared" si="52"/>
        <v>4440</v>
      </c>
      <c r="V122" s="776">
        <f>VLOOKUP($B122,QD!$B$9:$L$316,10,0)</f>
        <v>1332</v>
      </c>
      <c r="W122" s="776">
        <v>1332</v>
      </c>
      <c r="X122" s="776">
        <v>30</v>
      </c>
      <c r="Y122" s="1126"/>
      <c r="Z122" s="776">
        <f t="shared" si="49"/>
        <v>1332</v>
      </c>
      <c r="AA122" s="775">
        <f t="shared" si="58"/>
        <v>1392</v>
      </c>
      <c r="AB122" s="775">
        <f t="shared" si="59"/>
        <v>1332</v>
      </c>
      <c r="AC122" s="775">
        <f t="shared" si="60"/>
        <v>1392</v>
      </c>
      <c r="AD122" s="775">
        <f t="shared" si="61"/>
        <v>4500</v>
      </c>
      <c r="AE122" s="775">
        <f t="shared" si="62"/>
        <v>3108</v>
      </c>
      <c r="AF122" s="1126"/>
      <c r="AG122" s="821"/>
      <c r="AH122" s="1535" t="s">
        <v>771</v>
      </c>
      <c r="AK122" s="1174" t="s">
        <v>49</v>
      </c>
      <c r="AL122" s="1174"/>
      <c r="AM122" s="832"/>
    </row>
    <row r="123" spans="1:40" s="1173" customFormat="1" ht="30" customHeight="1">
      <c r="A123" s="1117">
        <v>96</v>
      </c>
      <c r="B123" s="1536" t="s">
        <v>318</v>
      </c>
      <c r="C123" s="1536"/>
      <c r="D123" s="1536"/>
      <c r="E123" s="1125" t="s">
        <v>348</v>
      </c>
      <c r="F123" s="1537" t="s">
        <v>387</v>
      </c>
      <c r="G123" s="1536" t="s">
        <v>10</v>
      </c>
      <c r="H123" s="1122">
        <v>2018</v>
      </c>
      <c r="I123" s="1122"/>
      <c r="J123" s="1122">
        <v>2020</v>
      </c>
      <c r="K123" s="1122"/>
      <c r="L123" s="1540" t="s">
        <v>442</v>
      </c>
      <c r="M123" s="774" t="s">
        <v>766</v>
      </c>
      <c r="N123" s="1125">
        <v>6400</v>
      </c>
      <c r="O123" s="1125"/>
      <c r="P123" s="1125">
        <v>6400</v>
      </c>
      <c r="Q123" s="1125">
        <v>60</v>
      </c>
      <c r="R123" s="1125"/>
      <c r="S123" s="1125">
        <v>60</v>
      </c>
      <c r="T123" s="1125">
        <v>5760</v>
      </c>
      <c r="U123" s="1125">
        <f t="shared" si="52"/>
        <v>5700</v>
      </c>
      <c r="V123" s="776">
        <f>VLOOKUP($B123,QD!$B$9:$L$316,10,0)</f>
        <v>1710</v>
      </c>
      <c r="W123" s="776">
        <v>1710</v>
      </c>
      <c r="X123" s="776">
        <v>30</v>
      </c>
      <c r="Y123" s="1126"/>
      <c r="Z123" s="776">
        <f t="shared" si="49"/>
        <v>1710</v>
      </c>
      <c r="AA123" s="775">
        <f t="shared" si="58"/>
        <v>1770</v>
      </c>
      <c r="AB123" s="775">
        <f t="shared" si="59"/>
        <v>1710</v>
      </c>
      <c r="AC123" s="775">
        <f t="shared" si="60"/>
        <v>1770</v>
      </c>
      <c r="AD123" s="775">
        <f t="shared" si="61"/>
        <v>5760</v>
      </c>
      <c r="AE123" s="775">
        <f t="shared" si="62"/>
        <v>3990</v>
      </c>
      <c r="AF123" s="1126"/>
      <c r="AG123" s="821"/>
      <c r="AH123" s="1535" t="s">
        <v>771</v>
      </c>
      <c r="AK123" s="1174" t="s">
        <v>2024</v>
      </c>
      <c r="AL123" s="1174"/>
      <c r="AM123" s="832"/>
    </row>
    <row r="124" spans="1:40" s="1173" customFormat="1" ht="30" customHeight="1">
      <c r="A124" s="1117">
        <v>98</v>
      </c>
      <c r="B124" s="1536" t="s">
        <v>319</v>
      </c>
      <c r="C124" s="1536"/>
      <c r="D124" s="1536"/>
      <c r="E124" s="1125" t="s">
        <v>348</v>
      </c>
      <c r="F124" s="1537" t="s">
        <v>387</v>
      </c>
      <c r="G124" s="1543" t="s">
        <v>46</v>
      </c>
      <c r="H124" s="1122">
        <v>2018</v>
      </c>
      <c r="I124" s="1122"/>
      <c r="J124" s="1122">
        <v>2020</v>
      </c>
      <c r="K124" s="1122"/>
      <c r="L124" s="1122"/>
      <c r="M124" s="774" t="s">
        <v>760</v>
      </c>
      <c r="N124" s="1125">
        <v>3600</v>
      </c>
      <c r="O124" s="1125"/>
      <c r="P124" s="1125">
        <v>2700</v>
      </c>
      <c r="Q124" s="1125">
        <v>40</v>
      </c>
      <c r="R124" s="1125"/>
      <c r="S124" s="1125">
        <v>40</v>
      </c>
      <c r="T124" s="1125">
        <v>2700</v>
      </c>
      <c r="U124" s="1125">
        <f t="shared" si="52"/>
        <v>2660</v>
      </c>
      <c r="V124" s="776">
        <f>VLOOKUP($B124,QD!$B$9:$L$316,10,0)</f>
        <v>798</v>
      </c>
      <c r="W124" s="776">
        <v>798</v>
      </c>
      <c r="X124" s="776">
        <v>30</v>
      </c>
      <c r="Y124" s="1126"/>
      <c r="Z124" s="776">
        <f t="shared" si="49"/>
        <v>798</v>
      </c>
      <c r="AA124" s="775">
        <f t="shared" si="58"/>
        <v>838</v>
      </c>
      <c r="AB124" s="775">
        <f t="shared" si="59"/>
        <v>798</v>
      </c>
      <c r="AC124" s="775">
        <f t="shared" si="60"/>
        <v>838</v>
      </c>
      <c r="AD124" s="775">
        <f t="shared" si="61"/>
        <v>2700</v>
      </c>
      <c r="AE124" s="775">
        <f t="shared" si="62"/>
        <v>1862</v>
      </c>
      <c r="AF124" s="1126"/>
      <c r="AG124" s="821"/>
      <c r="AH124" s="1535" t="s">
        <v>771</v>
      </c>
      <c r="AK124" s="1174" t="s">
        <v>2005</v>
      </c>
      <c r="AL124" s="1174"/>
      <c r="AM124" s="832"/>
      <c r="AN124" s="1173" t="s">
        <v>2087</v>
      </c>
    </row>
    <row r="125" spans="1:40" s="1173" customFormat="1" ht="30" customHeight="1">
      <c r="A125" s="1117">
        <v>99</v>
      </c>
      <c r="B125" s="1536" t="s">
        <v>320</v>
      </c>
      <c r="C125" s="1536"/>
      <c r="D125" s="1536"/>
      <c r="E125" s="1125" t="s">
        <v>348</v>
      </c>
      <c r="F125" s="1537" t="s">
        <v>387</v>
      </c>
      <c r="G125" s="1543" t="s">
        <v>46</v>
      </c>
      <c r="H125" s="1122">
        <v>2018</v>
      </c>
      <c r="I125" s="1122"/>
      <c r="J125" s="1122">
        <v>2020</v>
      </c>
      <c r="K125" s="1122"/>
      <c r="L125" s="1122"/>
      <c r="M125" s="774" t="s">
        <v>761</v>
      </c>
      <c r="N125" s="1125">
        <v>3000</v>
      </c>
      <c r="O125" s="1125"/>
      <c r="P125" s="1125">
        <v>3000</v>
      </c>
      <c r="Q125" s="1125">
        <v>40</v>
      </c>
      <c r="R125" s="1125"/>
      <c r="S125" s="1125">
        <v>40</v>
      </c>
      <c r="T125" s="1125">
        <v>2700</v>
      </c>
      <c r="U125" s="1125">
        <f t="shared" si="52"/>
        <v>2660</v>
      </c>
      <c r="V125" s="776">
        <f>VLOOKUP($B125,QD!$B$9:$L$316,10,0)</f>
        <v>798</v>
      </c>
      <c r="W125" s="776">
        <v>798</v>
      </c>
      <c r="X125" s="776">
        <v>30</v>
      </c>
      <c r="Y125" s="1126"/>
      <c r="Z125" s="776">
        <f t="shared" si="49"/>
        <v>798</v>
      </c>
      <c r="AA125" s="775">
        <f t="shared" si="58"/>
        <v>838</v>
      </c>
      <c r="AB125" s="775">
        <f t="shared" si="59"/>
        <v>798</v>
      </c>
      <c r="AC125" s="775">
        <f t="shared" si="60"/>
        <v>838</v>
      </c>
      <c r="AD125" s="775">
        <f t="shared" si="61"/>
        <v>2700</v>
      </c>
      <c r="AE125" s="775">
        <f t="shared" si="62"/>
        <v>1862</v>
      </c>
      <c r="AF125" s="1126"/>
      <c r="AG125" s="821"/>
      <c r="AH125" s="1535" t="s">
        <v>771</v>
      </c>
      <c r="AK125" s="1174" t="s">
        <v>1965</v>
      </c>
      <c r="AL125" s="1174"/>
      <c r="AM125" s="832"/>
      <c r="AN125" s="1173" t="s">
        <v>2087</v>
      </c>
    </row>
    <row r="126" spans="1:40" s="1173" customFormat="1" ht="30" customHeight="1">
      <c r="A126" s="1117">
        <v>100</v>
      </c>
      <c r="B126" s="1536" t="s">
        <v>321</v>
      </c>
      <c r="C126" s="1536"/>
      <c r="D126" s="1536"/>
      <c r="E126" s="1125" t="s">
        <v>348</v>
      </c>
      <c r="F126" s="1537" t="s">
        <v>387</v>
      </c>
      <c r="G126" s="1536" t="s">
        <v>44</v>
      </c>
      <c r="H126" s="1122">
        <v>2018</v>
      </c>
      <c r="I126" s="1122"/>
      <c r="J126" s="1122">
        <v>2020</v>
      </c>
      <c r="K126" s="1122"/>
      <c r="L126" s="1540" t="s">
        <v>443</v>
      </c>
      <c r="M126" s="774" t="s">
        <v>598</v>
      </c>
      <c r="N126" s="1125">
        <v>3000</v>
      </c>
      <c r="O126" s="1125"/>
      <c r="P126" s="1125">
        <v>3000</v>
      </c>
      <c r="Q126" s="1125">
        <v>40</v>
      </c>
      <c r="R126" s="1125"/>
      <c r="S126" s="1125">
        <v>40</v>
      </c>
      <c r="T126" s="1125">
        <v>2700</v>
      </c>
      <c r="U126" s="1125">
        <f t="shared" si="52"/>
        <v>2660</v>
      </c>
      <c r="V126" s="776">
        <f>VLOOKUP($B126,QD!$B$9:$L$316,10,0)</f>
        <v>798</v>
      </c>
      <c r="W126" s="776">
        <v>798</v>
      </c>
      <c r="X126" s="776">
        <v>30</v>
      </c>
      <c r="Y126" s="1126"/>
      <c r="Z126" s="776">
        <f t="shared" si="49"/>
        <v>798</v>
      </c>
      <c r="AA126" s="775">
        <f t="shared" si="58"/>
        <v>838</v>
      </c>
      <c r="AB126" s="775">
        <f t="shared" si="59"/>
        <v>798</v>
      </c>
      <c r="AC126" s="775">
        <f t="shared" si="60"/>
        <v>838</v>
      </c>
      <c r="AD126" s="775">
        <f t="shared" si="61"/>
        <v>2700</v>
      </c>
      <c r="AE126" s="775">
        <f t="shared" si="62"/>
        <v>1862</v>
      </c>
      <c r="AF126" s="1126"/>
      <c r="AG126" s="821"/>
      <c r="AH126" s="1535" t="s">
        <v>771</v>
      </c>
      <c r="AK126" s="1174" t="s">
        <v>1998</v>
      </c>
      <c r="AL126" s="1174"/>
      <c r="AM126" s="832"/>
      <c r="AN126" s="1173" t="s">
        <v>2087</v>
      </c>
    </row>
    <row r="127" spans="1:40" s="1514" customFormat="1" ht="30" customHeight="1">
      <c r="A127" s="777">
        <v>101</v>
      </c>
      <c r="B127" s="1215" t="s">
        <v>322</v>
      </c>
      <c r="C127" s="1215"/>
      <c r="D127" s="1215"/>
      <c r="E127" s="1115" t="s">
        <v>348</v>
      </c>
      <c r="F127" s="780" t="s">
        <v>387</v>
      </c>
      <c r="G127" s="1236" t="s">
        <v>33</v>
      </c>
      <c r="H127" s="358">
        <v>2018</v>
      </c>
      <c r="I127" s="358"/>
      <c r="J127" s="358">
        <v>2020</v>
      </c>
      <c r="K127" s="358"/>
      <c r="L127" s="1533"/>
      <c r="M127" s="185" t="s">
        <v>599</v>
      </c>
      <c r="N127" s="1115">
        <v>2722</v>
      </c>
      <c r="O127" s="1115"/>
      <c r="P127" s="1115">
        <v>2722</v>
      </c>
      <c r="Q127" s="1115">
        <v>40</v>
      </c>
      <c r="R127" s="1115"/>
      <c r="S127" s="1115">
        <v>40</v>
      </c>
      <c r="T127" s="1115">
        <v>2700</v>
      </c>
      <c r="U127" s="1115">
        <f t="shared" si="52"/>
        <v>2660</v>
      </c>
      <c r="V127" s="776">
        <f>VLOOKUP($B127,QD!$B$9:$L$316,10,0)</f>
        <v>798</v>
      </c>
      <c r="W127" s="776">
        <v>798</v>
      </c>
      <c r="X127" s="776">
        <v>30</v>
      </c>
      <c r="Y127" s="1116"/>
      <c r="Z127" s="776">
        <f t="shared" si="49"/>
        <v>798</v>
      </c>
      <c r="AA127" s="775">
        <f t="shared" si="58"/>
        <v>838</v>
      </c>
      <c r="AB127" s="775">
        <f t="shared" si="59"/>
        <v>798</v>
      </c>
      <c r="AC127" s="775">
        <f t="shared" si="60"/>
        <v>838</v>
      </c>
      <c r="AD127" s="775">
        <f t="shared" si="61"/>
        <v>2700</v>
      </c>
      <c r="AE127" s="775">
        <f t="shared" si="62"/>
        <v>1862</v>
      </c>
      <c r="AF127" s="1116"/>
      <c r="AG127" s="782"/>
      <c r="AH127" s="1544"/>
      <c r="AK127" s="1515" t="s">
        <v>2110</v>
      </c>
      <c r="AL127" s="1515"/>
      <c r="AM127" s="1516"/>
      <c r="AN127" s="1173"/>
    </row>
    <row r="128" spans="1:40" s="1173" customFormat="1" ht="30" customHeight="1">
      <c r="A128" s="1117">
        <v>102</v>
      </c>
      <c r="B128" s="1536" t="s">
        <v>323</v>
      </c>
      <c r="C128" s="1536"/>
      <c r="D128" s="1536"/>
      <c r="E128" s="1125" t="s">
        <v>348</v>
      </c>
      <c r="F128" s="1537" t="s">
        <v>387</v>
      </c>
      <c r="G128" s="1220" t="s">
        <v>49</v>
      </c>
      <c r="H128" s="1122">
        <v>2018</v>
      </c>
      <c r="I128" s="1122"/>
      <c r="J128" s="1122">
        <v>2020</v>
      </c>
      <c r="K128" s="1122"/>
      <c r="L128" s="1540" t="s">
        <v>444</v>
      </c>
      <c r="M128" s="774" t="s">
        <v>600</v>
      </c>
      <c r="N128" s="1125">
        <v>4800</v>
      </c>
      <c r="O128" s="1125"/>
      <c r="P128" s="1125">
        <v>4800</v>
      </c>
      <c r="Q128" s="1125">
        <v>40</v>
      </c>
      <c r="R128" s="1125"/>
      <c r="S128" s="1125">
        <v>40</v>
      </c>
      <c r="T128" s="1125">
        <v>4320</v>
      </c>
      <c r="U128" s="1125">
        <f t="shared" si="52"/>
        <v>4280</v>
      </c>
      <c r="V128" s="776">
        <f>VLOOKUP($B128,QD!$B$9:$L$316,10,0)</f>
        <v>1284</v>
      </c>
      <c r="W128" s="776">
        <v>1284</v>
      </c>
      <c r="X128" s="776">
        <v>30</v>
      </c>
      <c r="Y128" s="1126"/>
      <c r="Z128" s="776">
        <f t="shared" si="49"/>
        <v>1284</v>
      </c>
      <c r="AA128" s="775">
        <f t="shared" si="58"/>
        <v>1324</v>
      </c>
      <c r="AB128" s="775">
        <f t="shared" si="59"/>
        <v>1284</v>
      </c>
      <c r="AC128" s="775">
        <f t="shared" si="60"/>
        <v>1324</v>
      </c>
      <c r="AD128" s="775">
        <f t="shared" si="61"/>
        <v>4320</v>
      </c>
      <c r="AE128" s="775">
        <f t="shared" si="62"/>
        <v>2996</v>
      </c>
      <c r="AF128" s="1126"/>
      <c r="AG128" s="821"/>
      <c r="AH128" s="1535" t="s">
        <v>771</v>
      </c>
      <c r="AK128" s="1174" t="s">
        <v>2004</v>
      </c>
      <c r="AL128" s="1174"/>
      <c r="AM128" s="832" t="s">
        <v>2080</v>
      </c>
      <c r="AN128" s="1173" t="s">
        <v>2087</v>
      </c>
    </row>
    <row r="129" spans="1:40" s="1173" customFormat="1" ht="30" customHeight="1">
      <c r="A129" s="1117">
        <v>103</v>
      </c>
      <c r="B129" s="1538" t="s">
        <v>324</v>
      </c>
      <c r="C129" s="1538"/>
      <c r="D129" s="1538"/>
      <c r="E129" s="1125" t="s">
        <v>348</v>
      </c>
      <c r="F129" s="1537" t="s">
        <v>387</v>
      </c>
      <c r="G129" s="1220" t="s">
        <v>17</v>
      </c>
      <c r="H129" s="1122">
        <v>2018</v>
      </c>
      <c r="I129" s="1122"/>
      <c r="J129" s="1122">
        <v>2020</v>
      </c>
      <c r="K129" s="1122"/>
      <c r="L129" s="1540" t="s">
        <v>445</v>
      </c>
      <c r="M129" s="774" t="s">
        <v>601</v>
      </c>
      <c r="N129" s="1125">
        <v>4784</v>
      </c>
      <c r="O129" s="1125"/>
      <c r="P129" s="1125">
        <v>4784</v>
      </c>
      <c r="Q129" s="1125">
        <v>40</v>
      </c>
      <c r="R129" s="1125"/>
      <c r="S129" s="1125">
        <v>40</v>
      </c>
      <c r="T129" s="1125">
        <v>4320</v>
      </c>
      <c r="U129" s="1125">
        <f t="shared" si="52"/>
        <v>4280</v>
      </c>
      <c r="V129" s="776">
        <f>VLOOKUP($B129,QD!$B$9:$L$316,10,0)</f>
        <v>1284</v>
      </c>
      <c r="W129" s="776">
        <v>1284</v>
      </c>
      <c r="X129" s="776">
        <v>30</v>
      </c>
      <c r="Y129" s="1126"/>
      <c r="Z129" s="776">
        <f t="shared" si="49"/>
        <v>1284</v>
      </c>
      <c r="AA129" s="775">
        <f t="shared" si="58"/>
        <v>1324</v>
      </c>
      <c r="AB129" s="775">
        <f t="shared" si="59"/>
        <v>1284</v>
      </c>
      <c r="AC129" s="775">
        <f t="shared" si="60"/>
        <v>1324</v>
      </c>
      <c r="AD129" s="775">
        <f t="shared" si="61"/>
        <v>4320</v>
      </c>
      <c r="AE129" s="775">
        <f t="shared" si="62"/>
        <v>2996</v>
      </c>
      <c r="AF129" s="1126"/>
      <c r="AG129" s="821"/>
      <c r="AH129" s="1535" t="s">
        <v>771</v>
      </c>
      <c r="AK129" s="1174" t="s">
        <v>1951</v>
      </c>
      <c r="AL129" s="1174"/>
      <c r="AM129" s="832"/>
      <c r="AN129" s="1173" t="s">
        <v>2087</v>
      </c>
    </row>
    <row r="130" spans="1:40" ht="30" customHeight="1">
      <c r="A130" s="777">
        <v>104</v>
      </c>
      <c r="B130" s="933" t="s">
        <v>325</v>
      </c>
      <c r="C130" s="933"/>
      <c r="D130" s="933"/>
      <c r="E130" s="1115" t="s">
        <v>348</v>
      </c>
      <c r="F130" s="780" t="s">
        <v>387</v>
      </c>
      <c r="G130" s="1236" t="s">
        <v>33</v>
      </c>
      <c r="H130" s="358">
        <v>2018</v>
      </c>
      <c r="I130" s="358"/>
      <c r="J130" s="358">
        <v>2020</v>
      </c>
      <c r="K130" s="358"/>
      <c r="L130" s="358"/>
      <c r="M130" s="185" t="s">
        <v>751</v>
      </c>
      <c r="N130" s="1115">
        <v>4000</v>
      </c>
      <c r="O130" s="1115"/>
      <c r="P130" s="1115">
        <v>2400</v>
      </c>
      <c r="Q130" s="1115">
        <v>0</v>
      </c>
      <c r="R130" s="1115"/>
      <c r="S130" s="1115">
        <v>0</v>
      </c>
      <c r="T130" s="1115">
        <v>2400</v>
      </c>
      <c r="U130" s="1115">
        <f t="shared" si="52"/>
        <v>2400</v>
      </c>
      <c r="V130" s="776">
        <f>VLOOKUP($B130,QD!$B$9:$L$316,10,0)</f>
        <v>1200</v>
      </c>
      <c r="W130" s="776">
        <v>1200</v>
      </c>
      <c r="X130" s="776">
        <v>50</v>
      </c>
      <c r="Y130" s="1116"/>
      <c r="Z130" s="776">
        <f t="shared" si="49"/>
        <v>1200</v>
      </c>
      <c r="AA130" s="775">
        <f t="shared" si="58"/>
        <v>1200</v>
      </c>
      <c r="AB130" s="775">
        <f t="shared" si="59"/>
        <v>1200</v>
      </c>
      <c r="AC130" s="775">
        <f t="shared" si="60"/>
        <v>1200</v>
      </c>
      <c r="AD130" s="775">
        <f t="shared" si="61"/>
        <v>2400</v>
      </c>
      <c r="AE130" s="775">
        <f t="shared" si="62"/>
        <v>1200</v>
      </c>
      <c r="AF130" s="1116"/>
      <c r="AG130" s="776"/>
      <c r="AH130" s="1544"/>
      <c r="AK130" s="747" t="s">
        <v>2014</v>
      </c>
      <c r="AL130" s="747"/>
      <c r="AM130" s="746"/>
      <c r="AN130" s="1173" t="s">
        <v>2087</v>
      </c>
    </row>
    <row r="131" spans="1:40" s="1173" customFormat="1" ht="30" customHeight="1">
      <c r="A131" s="1117">
        <v>105</v>
      </c>
      <c r="B131" s="1536" t="s">
        <v>326</v>
      </c>
      <c r="C131" s="1536"/>
      <c r="D131" s="1536"/>
      <c r="E131" s="1125" t="s">
        <v>348</v>
      </c>
      <c r="F131" s="1537" t="s">
        <v>387</v>
      </c>
      <c r="G131" s="1536" t="s">
        <v>10</v>
      </c>
      <c r="H131" s="1122">
        <v>2018</v>
      </c>
      <c r="I131" s="1122"/>
      <c r="J131" s="1122">
        <v>2020</v>
      </c>
      <c r="K131" s="1122"/>
      <c r="L131" s="1122"/>
      <c r="M131" s="774" t="s">
        <v>765</v>
      </c>
      <c r="N131" s="1125">
        <v>3000</v>
      </c>
      <c r="O131" s="1125"/>
      <c r="P131" s="1125">
        <v>3000</v>
      </c>
      <c r="Q131" s="1125">
        <v>40</v>
      </c>
      <c r="R131" s="1125"/>
      <c r="S131" s="1125">
        <v>40</v>
      </c>
      <c r="T131" s="1125">
        <v>2700</v>
      </c>
      <c r="U131" s="1125">
        <f t="shared" si="52"/>
        <v>2660</v>
      </c>
      <c r="V131" s="776">
        <f>VLOOKUP($B131,QD!$B$9:$L$316,10,0)</f>
        <v>798</v>
      </c>
      <c r="W131" s="776">
        <v>798</v>
      </c>
      <c r="X131" s="776">
        <v>30</v>
      </c>
      <c r="Y131" s="1126"/>
      <c r="Z131" s="776">
        <f t="shared" si="49"/>
        <v>798</v>
      </c>
      <c r="AA131" s="775">
        <f t="shared" si="58"/>
        <v>838</v>
      </c>
      <c r="AB131" s="775">
        <f t="shared" si="59"/>
        <v>798</v>
      </c>
      <c r="AC131" s="775">
        <f t="shared" si="60"/>
        <v>838</v>
      </c>
      <c r="AD131" s="775">
        <f t="shared" si="61"/>
        <v>2700</v>
      </c>
      <c r="AE131" s="775">
        <f t="shared" si="62"/>
        <v>1862</v>
      </c>
      <c r="AF131" s="1126"/>
      <c r="AG131" s="821"/>
      <c r="AH131" s="1535" t="s">
        <v>771</v>
      </c>
      <c r="AK131" s="1174" t="s">
        <v>1979</v>
      </c>
      <c r="AL131" s="1174"/>
      <c r="AM131" s="832"/>
      <c r="AN131" s="1173" t="s">
        <v>2087</v>
      </c>
    </row>
    <row r="132" spans="1:40" s="1173" customFormat="1" ht="30" customHeight="1">
      <c r="A132" s="1117">
        <v>106</v>
      </c>
      <c r="B132" s="1536" t="s">
        <v>915</v>
      </c>
      <c r="C132" s="1536"/>
      <c r="D132" s="1536"/>
      <c r="E132" s="1125" t="s">
        <v>348</v>
      </c>
      <c r="F132" s="1537" t="s">
        <v>387</v>
      </c>
      <c r="G132" s="1536" t="s">
        <v>49</v>
      </c>
      <c r="H132" s="1122">
        <v>2018</v>
      </c>
      <c r="I132" s="1122"/>
      <c r="J132" s="1122">
        <v>2020</v>
      </c>
      <c r="K132" s="1122"/>
      <c r="L132" s="1540" t="s">
        <v>446</v>
      </c>
      <c r="M132" s="774" t="s">
        <v>643</v>
      </c>
      <c r="N132" s="1125">
        <v>4000</v>
      </c>
      <c r="O132" s="1125"/>
      <c r="P132" s="1125">
        <v>4000</v>
      </c>
      <c r="Q132" s="1125">
        <v>40</v>
      </c>
      <c r="R132" s="1125"/>
      <c r="S132" s="1125">
        <v>40</v>
      </c>
      <c r="T132" s="1125">
        <v>3600</v>
      </c>
      <c r="U132" s="1125">
        <f t="shared" si="52"/>
        <v>3560</v>
      </c>
      <c r="V132" s="776">
        <f>VLOOKUP($B132,QD!$B$9:$L$316,10,0)</f>
        <v>1068</v>
      </c>
      <c r="W132" s="776">
        <v>1068</v>
      </c>
      <c r="X132" s="776">
        <v>30</v>
      </c>
      <c r="Y132" s="1126"/>
      <c r="Z132" s="776">
        <f t="shared" si="49"/>
        <v>1068</v>
      </c>
      <c r="AA132" s="775">
        <f t="shared" si="58"/>
        <v>1108</v>
      </c>
      <c r="AB132" s="775">
        <f t="shared" si="59"/>
        <v>1068</v>
      </c>
      <c r="AC132" s="775">
        <f t="shared" si="60"/>
        <v>1108</v>
      </c>
      <c r="AD132" s="775">
        <f t="shared" si="61"/>
        <v>3600</v>
      </c>
      <c r="AE132" s="775">
        <f t="shared" si="62"/>
        <v>2492</v>
      </c>
      <c r="AF132" s="1126"/>
      <c r="AG132" s="821"/>
      <c r="AH132" s="1535" t="s">
        <v>771</v>
      </c>
      <c r="AK132" s="1174" t="s">
        <v>1961</v>
      </c>
      <c r="AL132" s="1174"/>
      <c r="AM132" s="832"/>
    </row>
    <row r="133" spans="1:40" s="1173" customFormat="1" ht="30" customHeight="1">
      <c r="A133" s="1117">
        <v>108</v>
      </c>
      <c r="B133" s="1536" t="s">
        <v>327</v>
      </c>
      <c r="C133" s="1536"/>
      <c r="D133" s="1536"/>
      <c r="E133" s="1125" t="s">
        <v>348</v>
      </c>
      <c r="F133" s="1537" t="s">
        <v>387</v>
      </c>
      <c r="G133" s="1536" t="s">
        <v>10</v>
      </c>
      <c r="H133" s="1122">
        <v>2018</v>
      </c>
      <c r="I133" s="1122"/>
      <c r="J133" s="1122">
        <v>2020</v>
      </c>
      <c r="K133" s="1122"/>
      <c r="L133" s="1122"/>
      <c r="M133" s="774" t="s">
        <v>785</v>
      </c>
      <c r="N133" s="1125">
        <v>3000</v>
      </c>
      <c r="O133" s="1125"/>
      <c r="P133" s="1125">
        <v>3000</v>
      </c>
      <c r="Q133" s="1125">
        <v>40</v>
      </c>
      <c r="R133" s="1125"/>
      <c r="S133" s="1125">
        <v>40</v>
      </c>
      <c r="T133" s="1125">
        <v>2700</v>
      </c>
      <c r="U133" s="1125">
        <f t="shared" si="52"/>
        <v>2660</v>
      </c>
      <c r="V133" s="776">
        <f>VLOOKUP($B133,QD!$B$9:$L$316,10,0)</f>
        <v>798</v>
      </c>
      <c r="W133" s="776">
        <v>798</v>
      </c>
      <c r="X133" s="776">
        <v>30</v>
      </c>
      <c r="Y133" s="1126"/>
      <c r="Z133" s="776">
        <f t="shared" si="49"/>
        <v>798</v>
      </c>
      <c r="AA133" s="775">
        <f t="shared" si="58"/>
        <v>838</v>
      </c>
      <c r="AB133" s="775">
        <f t="shared" si="59"/>
        <v>798</v>
      </c>
      <c r="AC133" s="775">
        <f t="shared" si="60"/>
        <v>838</v>
      </c>
      <c r="AD133" s="775">
        <f t="shared" si="61"/>
        <v>2700</v>
      </c>
      <c r="AE133" s="775">
        <f t="shared" si="62"/>
        <v>1862</v>
      </c>
      <c r="AF133" s="1126"/>
      <c r="AG133" s="821"/>
      <c r="AH133" s="1535" t="s">
        <v>771</v>
      </c>
      <c r="AK133" s="1174" t="s">
        <v>2036</v>
      </c>
      <c r="AL133" s="1174"/>
      <c r="AM133" s="832"/>
      <c r="AN133" s="1173" t="s">
        <v>2087</v>
      </c>
    </row>
    <row r="134" spans="1:40" s="1514" customFormat="1" ht="30" customHeight="1">
      <c r="A134" s="777">
        <v>109</v>
      </c>
      <c r="B134" s="933" t="s">
        <v>330</v>
      </c>
      <c r="C134" s="933"/>
      <c r="D134" s="933"/>
      <c r="E134" s="1115" t="s">
        <v>348</v>
      </c>
      <c r="F134" s="780" t="s">
        <v>387</v>
      </c>
      <c r="G134" s="1215" t="s">
        <v>49</v>
      </c>
      <c r="H134" s="358">
        <v>2018</v>
      </c>
      <c r="I134" s="358"/>
      <c r="J134" s="358">
        <v>2020</v>
      </c>
      <c r="K134" s="358"/>
      <c r="L134" s="1533" t="s">
        <v>447</v>
      </c>
      <c r="M134" s="185" t="s">
        <v>755</v>
      </c>
      <c r="N134" s="1115">
        <v>4169</v>
      </c>
      <c r="O134" s="1115"/>
      <c r="P134" s="1115">
        <v>4169</v>
      </c>
      <c r="Q134" s="1115">
        <v>40</v>
      </c>
      <c r="R134" s="1115"/>
      <c r="S134" s="1115">
        <v>40</v>
      </c>
      <c r="T134" s="1115">
        <v>3780</v>
      </c>
      <c r="U134" s="1115">
        <f>T134-Q134</f>
        <v>3740</v>
      </c>
      <c r="V134" s="776">
        <f>VLOOKUP($B134,QD!$B$9:$L$316,10,0)</f>
        <v>1122</v>
      </c>
      <c r="W134" s="776">
        <v>1122</v>
      </c>
      <c r="X134" s="776">
        <v>30</v>
      </c>
      <c r="Y134" s="1116"/>
      <c r="Z134" s="776">
        <f t="shared" si="49"/>
        <v>1122</v>
      </c>
      <c r="AA134" s="775">
        <f t="shared" si="58"/>
        <v>1162</v>
      </c>
      <c r="AB134" s="775">
        <f t="shared" si="59"/>
        <v>1122</v>
      </c>
      <c r="AC134" s="775">
        <f t="shared" si="60"/>
        <v>1162</v>
      </c>
      <c r="AD134" s="775">
        <f t="shared" si="61"/>
        <v>3780</v>
      </c>
      <c r="AE134" s="775">
        <f t="shared" si="62"/>
        <v>2618</v>
      </c>
      <c r="AF134" s="1116"/>
      <c r="AG134" s="782"/>
      <c r="AH134" s="1544"/>
      <c r="AK134" s="1515" t="s">
        <v>1952</v>
      </c>
      <c r="AL134" s="1515"/>
      <c r="AM134" s="1516"/>
      <c r="AN134" s="1173"/>
    </row>
    <row r="135" spans="1:40" ht="30" customHeight="1">
      <c r="A135" s="777">
        <v>110</v>
      </c>
      <c r="B135" s="933" t="s">
        <v>331</v>
      </c>
      <c r="C135" s="933"/>
      <c r="D135" s="933"/>
      <c r="E135" s="1115" t="s">
        <v>348</v>
      </c>
      <c r="F135" s="780" t="s">
        <v>387</v>
      </c>
      <c r="G135" s="1299" t="s">
        <v>17</v>
      </c>
      <c r="H135" s="358">
        <v>2018</v>
      </c>
      <c r="I135" s="358"/>
      <c r="J135" s="358">
        <v>2020</v>
      </c>
      <c r="K135" s="358"/>
      <c r="L135" s="1533" t="s">
        <v>448</v>
      </c>
      <c r="M135" s="185" t="s">
        <v>749</v>
      </c>
      <c r="N135" s="1115">
        <v>4500</v>
      </c>
      <c r="O135" s="1115"/>
      <c r="P135" s="1115">
        <v>4500</v>
      </c>
      <c r="Q135" s="1115">
        <v>0</v>
      </c>
      <c r="R135" s="1115"/>
      <c r="S135" s="1115">
        <v>0</v>
      </c>
      <c r="T135" s="1115">
        <v>4050</v>
      </c>
      <c r="U135" s="1115">
        <f t="shared" si="52"/>
        <v>4050</v>
      </c>
      <c r="V135" s="776">
        <f>VLOOKUP($B135,QD!$B$9:$L$316,10,0)</f>
        <v>1215</v>
      </c>
      <c r="W135" s="776">
        <v>1215</v>
      </c>
      <c r="X135" s="776">
        <v>30</v>
      </c>
      <c r="Y135" s="1116"/>
      <c r="Z135" s="776">
        <f t="shared" si="49"/>
        <v>1215</v>
      </c>
      <c r="AA135" s="775">
        <f t="shared" si="58"/>
        <v>1215</v>
      </c>
      <c r="AB135" s="775">
        <f t="shared" si="59"/>
        <v>1215</v>
      </c>
      <c r="AC135" s="775">
        <f t="shared" si="60"/>
        <v>1215</v>
      </c>
      <c r="AD135" s="775">
        <f t="shared" si="61"/>
        <v>4050</v>
      </c>
      <c r="AE135" s="775">
        <f t="shared" si="62"/>
        <v>2835</v>
      </c>
      <c r="AF135" s="1116"/>
      <c r="AG135" s="776"/>
      <c r="AH135" s="1544"/>
      <c r="AK135" s="747" t="s">
        <v>2002</v>
      </c>
      <c r="AL135" s="747"/>
      <c r="AM135" s="832" t="s">
        <v>2080</v>
      </c>
      <c r="AN135" s="1173" t="s">
        <v>2087</v>
      </c>
    </row>
    <row r="136" spans="1:40" s="1173" customFormat="1" ht="30" customHeight="1">
      <c r="A136" s="1117">
        <v>111</v>
      </c>
      <c r="B136" s="1538" t="s">
        <v>907</v>
      </c>
      <c r="C136" s="1538"/>
      <c r="D136" s="1538"/>
      <c r="E136" s="1125" t="s">
        <v>348</v>
      </c>
      <c r="F136" s="1537" t="s">
        <v>387</v>
      </c>
      <c r="G136" s="1539" t="s">
        <v>33</v>
      </c>
      <c r="H136" s="1122">
        <v>2018</v>
      </c>
      <c r="I136" s="1122"/>
      <c r="J136" s="1122">
        <v>2020</v>
      </c>
      <c r="K136" s="1122"/>
      <c r="L136" s="1540" t="s">
        <v>449</v>
      </c>
      <c r="M136" s="774" t="s">
        <v>757</v>
      </c>
      <c r="N136" s="1125">
        <v>3200</v>
      </c>
      <c r="O136" s="1125"/>
      <c r="P136" s="1125">
        <v>3200</v>
      </c>
      <c r="Q136" s="1125">
        <v>40</v>
      </c>
      <c r="R136" s="1125"/>
      <c r="S136" s="1125">
        <v>40</v>
      </c>
      <c r="T136" s="1125">
        <v>2880</v>
      </c>
      <c r="U136" s="1125">
        <f t="shared" si="52"/>
        <v>2840</v>
      </c>
      <c r="V136" s="776">
        <f>VLOOKUP($B136,QD!$B$9:$L$316,10,0)</f>
        <v>852</v>
      </c>
      <c r="W136" s="776">
        <v>852</v>
      </c>
      <c r="X136" s="776">
        <v>30</v>
      </c>
      <c r="Y136" s="1126"/>
      <c r="Z136" s="776">
        <f t="shared" si="49"/>
        <v>852</v>
      </c>
      <c r="AA136" s="775">
        <f t="shared" si="58"/>
        <v>892</v>
      </c>
      <c r="AB136" s="775">
        <f t="shared" si="59"/>
        <v>852</v>
      </c>
      <c r="AC136" s="775">
        <f t="shared" si="60"/>
        <v>892</v>
      </c>
      <c r="AD136" s="775">
        <f t="shared" si="61"/>
        <v>2880</v>
      </c>
      <c r="AE136" s="775">
        <f t="shared" si="62"/>
        <v>1988</v>
      </c>
      <c r="AF136" s="1126"/>
      <c r="AG136" s="821"/>
      <c r="AH136" s="1535" t="s">
        <v>771</v>
      </c>
      <c r="AK136" s="1174" t="s">
        <v>2037</v>
      </c>
      <c r="AL136" s="1174"/>
      <c r="AM136" s="832"/>
      <c r="AN136" s="1173" t="s">
        <v>2087</v>
      </c>
    </row>
    <row r="137" spans="1:40" ht="30" customHeight="1">
      <c r="A137" s="777">
        <v>112</v>
      </c>
      <c r="B137" s="933" t="s">
        <v>332</v>
      </c>
      <c r="C137" s="933"/>
      <c r="D137" s="933"/>
      <c r="E137" s="1115" t="s">
        <v>348</v>
      </c>
      <c r="F137" s="780" t="s">
        <v>387</v>
      </c>
      <c r="G137" s="778" t="s">
        <v>46</v>
      </c>
      <c r="H137" s="358">
        <v>2018</v>
      </c>
      <c r="I137" s="358"/>
      <c r="J137" s="358">
        <v>2020</v>
      </c>
      <c r="K137" s="358"/>
      <c r="L137" s="358"/>
      <c r="M137" s="185" t="s">
        <v>763</v>
      </c>
      <c r="N137" s="1115">
        <v>4800</v>
      </c>
      <c r="O137" s="1115"/>
      <c r="P137" s="1115">
        <v>4800</v>
      </c>
      <c r="Q137" s="1115">
        <v>0</v>
      </c>
      <c r="R137" s="1115"/>
      <c r="S137" s="1115">
        <v>0</v>
      </c>
      <c r="T137" s="1115">
        <v>4320</v>
      </c>
      <c r="U137" s="1115">
        <f t="shared" si="52"/>
        <v>4320</v>
      </c>
      <c r="V137" s="776">
        <f>VLOOKUP($B137,QD!$B$9:$L$316,10,0)</f>
        <v>1296</v>
      </c>
      <c r="W137" s="776">
        <v>1296</v>
      </c>
      <c r="X137" s="776">
        <v>30</v>
      </c>
      <c r="Y137" s="1116"/>
      <c r="Z137" s="776">
        <f t="shared" si="49"/>
        <v>1296</v>
      </c>
      <c r="AA137" s="775">
        <f t="shared" si="58"/>
        <v>1296</v>
      </c>
      <c r="AB137" s="775">
        <f t="shared" si="59"/>
        <v>1296</v>
      </c>
      <c r="AC137" s="775">
        <f t="shared" si="60"/>
        <v>1296</v>
      </c>
      <c r="AD137" s="775">
        <f t="shared" si="61"/>
        <v>4320</v>
      </c>
      <c r="AE137" s="775">
        <f t="shared" si="62"/>
        <v>3024</v>
      </c>
      <c r="AF137" s="1116"/>
      <c r="AG137" s="776"/>
      <c r="AH137" s="1544"/>
      <c r="AK137" s="747" t="s">
        <v>2109</v>
      </c>
      <c r="AL137" s="747"/>
      <c r="AM137" s="746"/>
      <c r="AN137" s="1173" t="s">
        <v>2087</v>
      </c>
    </row>
    <row r="138" spans="1:40" s="1173" customFormat="1" ht="30" customHeight="1">
      <c r="A138" s="1117">
        <v>113</v>
      </c>
      <c r="B138" s="1538" t="s">
        <v>333</v>
      </c>
      <c r="C138" s="1538"/>
      <c r="D138" s="1538"/>
      <c r="E138" s="1125" t="s">
        <v>348</v>
      </c>
      <c r="F138" s="1537" t="s">
        <v>387</v>
      </c>
      <c r="G138" s="1220" t="s">
        <v>49</v>
      </c>
      <c r="H138" s="1122">
        <v>2018</v>
      </c>
      <c r="I138" s="1122"/>
      <c r="J138" s="1122">
        <v>2020</v>
      </c>
      <c r="K138" s="1122"/>
      <c r="L138" s="1540" t="s">
        <v>450</v>
      </c>
      <c r="M138" s="774" t="s">
        <v>602</v>
      </c>
      <c r="N138" s="1125">
        <v>2981</v>
      </c>
      <c r="O138" s="1125"/>
      <c r="P138" s="1125">
        <v>2981</v>
      </c>
      <c r="Q138" s="1125">
        <v>40</v>
      </c>
      <c r="R138" s="1125"/>
      <c r="S138" s="1125">
        <v>40</v>
      </c>
      <c r="T138" s="1125">
        <v>2700</v>
      </c>
      <c r="U138" s="1125">
        <f t="shared" si="52"/>
        <v>2660</v>
      </c>
      <c r="V138" s="776">
        <f>VLOOKUP($B138,QD!$B$9:$L$316,10,0)</f>
        <v>798</v>
      </c>
      <c r="W138" s="776">
        <v>798</v>
      </c>
      <c r="X138" s="776">
        <v>30</v>
      </c>
      <c r="Y138" s="1126"/>
      <c r="Z138" s="776">
        <f t="shared" si="49"/>
        <v>798</v>
      </c>
      <c r="AA138" s="775">
        <f t="shared" si="58"/>
        <v>838</v>
      </c>
      <c r="AB138" s="775">
        <f t="shared" si="59"/>
        <v>798</v>
      </c>
      <c r="AC138" s="775">
        <f t="shared" si="60"/>
        <v>838</v>
      </c>
      <c r="AD138" s="775">
        <f t="shared" si="61"/>
        <v>2700</v>
      </c>
      <c r="AE138" s="775">
        <f t="shared" si="62"/>
        <v>1862</v>
      </c>
      <c r="AF138" s="1126"/>
      <c r="AG138" s="821"/>
      <c r="AH138" s="1535" t="s">
        <v>771</v>
      </c>
      <c r="AK138" s="1174" t="s">
        <v>1967</v>
      </c>
      <c r="AL138" s="1174"/>
      <c r="AM138" s="832"/>
      <c r="AN138" s="1173" t="s">
        <v>2087</v>
      </c>
    </row>
    <row r="139" spans="1:40" ht="30" customHeight="1">
      <c r="A139" s="777">
        <v>114</v>
      </c>
      <c r="B139" s="933" t="s">
        <v>334</v>
      </c>
      <c r="C139" s="933"/>
      <c r="D139" s="933"/>
      <c r="E139" s="1115" t="s">
        <v>1609</v>
      </c>
      <c r="F139" s="780" t="s">
        <v>387</v>
      </c>
      <c r="G139" s="1299" t="s">
        <v>17</v>
      </c>
      <c r="H139" s="358">
        <v>2018</v>
      </c>
      <c r="I139" s="358"/>
      <c r="J139" s="358">
        <v>2020</v>
      </c>
      <c r="K139" s="358"/>
      <c r="L139" s="1533" t="s">
        <v>451</v>
      </c>
      <c r="M139" s="185" t="s">
        <v>603</v>
      </c>
      <c r="N139" s="1115">
        <v>3000</v>
      </c>
      <c r="O139" s="1115"/>
      <c r="P139" s="1115">
        <v>3000</v>
      </c>
      <c r="Q139" s="1115">
        <v>0</v>
      </c>
      <c r="R139" s="1115"/>
      <c r="S139" s="1115">
        <v>0</v>
      </c>
      <c r="T139" s="1115">
        <v>2700</v>
      </c>
      <c r="U139" s="1115">
        <f t="shared" si="52"/>
        <v>2700</v>
      </c>
      <c r="V139" s="776">
        <f>VLOOKUP($B139,QD!$B$9:$L$316,10,0)</f>
        <v>810</v>
      </c>
      <c r="W139" s="776">
        <v>810</v>
      </c>
      <c r="X139" s="776">
        <v>30</v>
      </c>
      <c r="Y139" s="1116"/>
      <c r="Z139" s="776">
        <f t="shared" si="49"/>
        <v>810</v>
      </c>
      <c r="AA139" s="775">
        <f t="shared" si="58"/>
        <v>810</v>
      </c>
      <c r="AB139" s="775">
        <f t="shared" si="59"/>
        <v>810</v>
      </c>
      <c r="AC139" s="775">
        <f t="shared" si="60"/>
        <v>810</v>
      </c>
      <c r="AD139" s="775">
        <f t="shared" si="61"/>
        <v>2700</v>
      </c>
      <c r="AE139" s="775">
        <f t="shared" si="62"/>
        <v>1890</v>
      </c>
      <c r="AF139" s="1116"/>
      <c r="AG139" s="776"/>
      <c r="AH139" s="1544"/>
      <c r="AK139" s="747" t="s">
        <v>1960</v>
      </c>
      <c r="AL139" s="747"/>
      <c r="AM139" s="746" t="s">
        <v>2081</v>
      </c>
      <c r="AN139" s="1173" t="s">
        <v>2087</v>
      </c>
    </row>
    <row r="140" spans="1:40" ht="30" customHeight="1">
      <c r="A140" s="777">
        <v>115</v>
      </c>
      <c r="B140" s="933" t="s">
        <v>335</v>
      </c>
      <c r="C140" s="933"/>
      <c r="D140" s="933"/>
      <c r="E140" s="1115" t="s">
        <v>348</v>
      </c>
      <c r="F140" s="780" t="s">
        <v>387</v>
      </c>
      <c r="G140" s="778" t="s">
        <v>46</v>
      </c>
      <c r="H140" s="358">
        <v>2018</v>
      </c>
      <c r="I140" s="358"/>
      <c r="J140" s="358">
        <v>2020</v>
      </c>
      <c r="K140" s="358"/>
      <c r="L140" s="1533" t="s">
        <v>452</v>
      </c>
      <c r="M140" s="185" t="s">
        <v>762</v>
      </c>
      <c r="N140" s="1115">
        <v>3200</v>
      </c>
      <c r="O140" s="1115"/>
      <c r="P140" s="1115">
        <v>3200</v>
      </c>
      <c r="Q140" s="1115">
        <v>0</v>
      </c>
      <c r="R140" s="1115"/>
      <c r="S140" s="1115">
        <v>0</v>
      </c>
      <c r="T140" s="1115">
        <v>2880</v>
      </c>
      <c r="U140" s="1115">
        <f t="shared" si="52"/>
        <v>2880</v>
      </c>
      <c r="V140" s="776">
        <f>VLOOKUP($B140,QD!$B$9:$L$316,10,0)</f>
        <v>864</v>
      </c>
      <c r="W140" s="776">
        <v>864</v>
      </c>
      <c r="X140" s="776">
        <v>30</v>
      </c>
      <c r="Y140" s="1116"/>
      <c r="Z140" s="776">
        <f t="shared" si="49"/>
        <v>864</v>
      </c>
      <c r="AA140" s="775">
        <f t="shared" si="58"/>
        <v>864</v>
      </c>
      <c r="AB140" s="775">
        <f t="shared" si="59"/>
        <v>864</v>
      </c>
      <c r="AC140" s="775">
        <f t="shared" si="60"/>
        <v>864</v>
      </c>
      <c r="AD140" s="775">
        <f t="shared" si="61"/>
        <v>2880</v>
      </c>
      <c r="AE140" s="775">
        <f t="shared" si="62"/>
        <v>2016</v>
      </c>
      <c r="AF140" s="1116"/>
      <c r="AG140" s="776"/>
      <c r="AH140" s="1544"/>
      <c r="AK140" s="747" t="s">
        <v>2038</v>
      </c>
      <c r="AL140" s="747"/>
      <c r="AM140" s="746"/>
      <c r="AN140" s="1173" t="s">
        <v>2087</v>
      </c>
    </row>
    <row r="141" spans="1:40" s="1173" customFormat="1" ht="30" customHeight="1">
      <c r="A141" s="1117">
        <v>116</v>
      </c>
      <c r="B141" s="1536" t="s">
        <v>336</v>
      </c>
      <c r="C141" s="1536"/>
      <c r="D141" s="1536"/>
      <c r="E141" s="1125" t="s">
        <v>348</v>
      </c>
      <c r="F141" s="1537" t="s">
        <v>387</v>
      </c>
      <c r="G141" s="1536" t="s">
        <v>49</v>
      </c>
      <c r="H141" s="1122">
        <v>2018</v>
      </c>
      <c r="I141" s="1122"/>
      <c r="J141" s="1122">
        <v>2020</v>
      </c>
      <c r="K141" s="1122"/>
      <c r="L141" s="1540" t="s">
        <v>453</v>
      </c>
      <c r="M141" s="774" t="s">
        <v>756</v>
      </c>
      <c r="N141" s="1125">
        <v>5000</v>
      </c>
      <c r="O141" s="1125"/>
      <c r="P141" s="1125">
        <v>5000</v>
      </c>
      <c r="Q141" s="1125">
        <v>60</v>
      </c>
      <c r="R141" s="1125"/>
      <c r="S141" s="1125">
        <v>60</v>
      </c>
      <c r="T141" s="1125">
        <v>4500</v>
      </c>
      <c r="U141" s="1125">
        <f t="shared" si="52"/>
        <v>4440</v>
      </c>
      <c r="V141" s="776">
        <f>VLOOKUP($B141,QD!$B$9:$L$316,10,0)</f>
        <v>1332</v>
      </c>
      <c r="W141" s="776">
        <v>1332</v>
      </c>
      <c r="X141" s="776">
        <v>30</v>
      </c>
      <c r="Y141" s="1126"/>
      <c r="Z141" s="776">
        <f t="shared" si="49"/>
        <v>1332</v>
      </c>
      <c r="AA141" s="775">
        <f t="shared" si="58"/>
        <v>1392</v>
      </c>
      <c r="AB141" s="775">
        <f t="shared" si="59"/>
        <v>1332</v>
      </c>
      <c r="AC141" s="775">
        <f t="shared" si="60"/>
        <v>1392</v>
      </c>
      <c r="AD141" s="775">
        <f t="shared" si="61"/>
        <v>4500</v>
      </c>
      <c r="AE141" s="775">
        <f t="shared" si="62"/>
        <v>3108</v>
      </c>
      <c r="AF141" s="1126"/>
      <c r="AG141" s="821"/>
      <c r="AH141" s="1535" t="s">
        <v>771</v>
      </c>
      <c r="AK141" s="1174" t="s">
        <v>2039</v>
      </c>
      <c r="AL141" s="1174"/>
      <c r="AM141" s="832"/>
      <c r="AN141" s="1173" t="s">
        <v>2087</v>
      </c>
    </row>
    <row r="142" spans="1:40" s="1173" customFormat="1" ht="30" customHeight="1">
      <c r="A142" s="1117">
        <v>117</v>
      </c>
      <c r="B142" s="1538" t="s">
        <v>339</v>
      </c>
      <c r="C142" s="1538"/>
      <c r="D142" s="1538"/>
      <c r="E142" s="1125" t="s">
        <v>348</v>
      </c>
      <c r="F142" s="1537" t="s">
        <v>387</v>
      </c>
      <c r="G142" s="1536" t="s">
        <v>49</v>
      </c>
      <c r="H142" s="1122">
        <v>2018</v>
      </c>
      <c r="I142" s="1122"/>
      <c r="J142" s="1122">
        <v>2020</v>
      </c>
      <c r="K142" s="1122"/>
      <c r="L142" s="1540" t="s">
        <v>454</v>
      </c>
      <c r="M142" s="774" t="s">
        <v>604</v>
      </c>
      <c r="N142" s="1125">
        <v>2979</v>
      </c>
      <c r="O142" s="1125"/>
      <c r="P142" s="1125">
        <v>2979</v>
      </c>
      <c r="Q142" s="1125">
        <v>40</v>
      </c>
      <c r="R142" s="1125"/>
      <c r="S142" s="1125">
        <v>40</v>
      </c>
      <c r="T142" s="1125">
        <v>2700</v>
      </c>
      <c r="U142" s="1125">
        <f t="shared" si="52"/>
        <v>2660</v>
      </c>
      <c r="V142" s="776">
        <f>VLOOKUP($B142,QD!$B$9:$L$316,10,0)</f>
        <v>798</v>
      </c>
      <c r="W142" s="776">
        <v>798</v>
      </c>
      <c r="X142" s="776">
        <v>30</v>
      </c>
      <c r="Y142" s="1126"/>
      <c r="Z142" s="776">
        <f t="shared" si="49"/>
        <v>798</v>
      </c>
      <c r="AA142" s="775">
        <f t="shared" si="58"/>
        <v>838</v>
      </c>
      <c r="AB142" s="775">
        <f t="shared" si="59"/>
        <v>798</v>
      </c>
      <c r="AC142" s="775">
        <f t="shared" si="60"/>
        <v>838</v>
      </c>
      <c r="AD142" s="775">
        <f t="shared" si="61"/>
        <v>2700</v>
      </c>
      <c r="AE142" s="775">
        <f t="shared" si="62"/>
        <v>1862</v>
      </c>
      <c r="AF142" s="1126"/>
      <c r="AG142" s="821"/>
      <c r="AH142" s="1535" t="s">
        <v>771</v>
      </c>
      <c r="AK142" s="1174" t="s">
        <v>1970</v>
      </c>
      <c r="AL142" s="1174"/>
      <c r="AM142" s="832"/>
    </row>
    <row r="143" spans="1:40" ht="30" customHeight="1">
      <c r="A143" s="777">
        <v>118</v>
      </c>
      <c r="B143" s="1215" t="s">
        <v>337</v>
      </c>
      <c r="C143" s="1215"/>
      <c r="D143" s="1215"/>
      <c r="E143" s="1115" t="s">
        <v>348</v>
      </c>
      <c r="F143" s="780" t="s">
        <v>387</v>
      </c>
      <c r="G143" s="778" t="s">
        <v>46</v>
      </c>
      <c r="H143" s="358">
        <v>2018</v>
      </c>
      <c r="I143" s="358"/>
      <c r="J143" s="358">
        <v>2020</v>
      </c>
      <c r="K143" s="358"/>
      <c r="L143" s="358"/>
      <c r="M143" s="185" t="s">
        <v>764</v>
      </c>
      <c r="N143" s="1115">
        <v>26142</v>
      </c>
      <c r="O143" s="1115"/>
      <c r="P143" s="1115">
        <v>10000</v>
      </c>
      <c r="Q143" s="1115">
        <v>0</v>
      </c>
      <c r="R143" s="1115"/>
      <c r="S143" s="1115">
        <v>0</v>
      </c>
      <c r="T143" s="1115">
        <v>10000</v>
      </c>
      <c r="U143" s="1115">
        <f t="shared" si="52"/>
        <v>10000</v>
      </c>
      <c r="V143" s="776">
        <f>VLOOKUP($B143,QD!$B$9:$L$316,10,0)</f>
        <v>3000</v>
      </c>
      <c r="W143" s="776">
        <v>3000</v>
      </c>
      <c r="X143" s="776">
        <v>30</v>
      </c>
      <c r="Y143" s="1116"/>
      <c r="Z143" s="776">
        <f t="shared" si="49"/>
        <v>3000</v>
      </c>
      <c r="AA143" s="775">
        <f t="shared" si="58"/>
        <v>3000</v>
      </c>
      <c r="AB143" s="775">
        <f t="shared" si="59"/>
        <v>3000</v>
      </c>
      <c r="AC143" s="775">
        <f t="shared" si="60"/>
        <v>3000</v>
      </c>
      <c r="AD143" s="775">
        <f t="shared" si="61"/>
        <v>10000</v>
      </c>
      <c r="AE143" s="775">
        <f t="shared" si="62"/>
        <v>7000</v>
      </c>
      <c r="AF143" s="1116"/>
      <c r="AG143" s="776"/>
      <c r="AH143" s="1544"/>
      <c r="AK143" s="1545" t="s">
        <v>2040</v>
      </c>
      <c r="AL143" s="747"/>
      <c r="AM143" s="746"/>
      <c r="AN143" s="1173"/>
    </row>
    <row r="144" spans="1:40" ht="30" customHeight="1">
      <c r="A144" s="777">
        <v>119</v>
      </c>
      <c r="B144" s="1215" t="s">
        <v>605</v>
      </c>
      <c r="C144" s="1546"/>
      <c r="D144" s="1546"/>
      <c r="E144" s="1115" t="s">
        <v>348</v>
      </c>
      <c r="F144" s="780" t="s">
        <v>387</v>
      </c>
      <c r="G144" s="778" t="s">
        <v>46</v>
      </c>
      <c r="H144" s="358">
        <v>2018</v>
      </c>
      <c r="I144" s="358"/>
      <c r="J144" s="358">
        <v>2020</v>
      </c>
      <c r="K144" s="1546"/>
      <c r="L144" s="1546"/>
      <c r="M144" s="185" t="s">
        <v>753</v>
      </c>
      <c r="N144" s="1115">
        <v>4000</v>
      </c>
      <c r="O144" s="1115"/>
      <c r="P144" s="1115">
        <v>4000</v>
      </c>
      <c r="Q144" s="1115"/>
      <c r="R144" s="1115"/>
      <c r="S144" s="1115"/>
      <c r="T144" s="1115">
        <v>3600</v>
      </c>
      <c r="U144" s="1115">
        <f t="shared" si="52"/>
        <v>3600</v>
      </c>
      <c r="V144" s="776">
        <f>VLOOKUP($B144,QD!$B$9:$L$316,10,0)</f>
        <v>1080</v>
      </c>
      <c r="W144" s="776">
        <v>1080</v>
      </c>
      <c r="X144" s="776">
        <v>30</v>
      </c>
      <c r="Y144" s="1116"/>
      <c r="Z144" s="776">
        <f t="shared" si="49"/>
        <v>1080</v>
      </c>
      <c r="AA144" s="775">
        <f t="shared" si="58"/>
        <v>1080</v>
      </c>
      <c r="AB144" s="775">
        <f t="shared" si="59"/>
        <v>1080</v>
      </c>
      <c r="AC144" s="775">
        <f t="shared" si="60"/>
        <v>1080</v>
      </c>
      <c r="AD144" s="775">
        <f t="shared" si="61"/>
        <v>3600</v>
      </c>
      <c r="AE144" s="775">
        <f t="shared" si="62"/>
        <v>2520</v>
      </c>
      <c r="AF144" s="1116"/>
      <c r="AG144" s="776"/>
      <c r="AH144" s="1544"/>
      <c r="AK144" s="747" t="s">
        <v>2109</v>
      </c>
      <c r="AL144" s="747"/>
      <c r="AM144" s="746"/>
      <c r="AN144" s="1173"/>
    </row>
    <row r="145" spans="1:47" s="1173" customFormat="1" ht="30" customHeight="1">
      <c r="A145" s="1117">
        <v>120</v>
      </c>
      <c r="B145" s="1547" t="s">
        <v>338</v>
      </c>
      <c r="C145" s="1548"/>
      <c r="D145" s="1548"/>
      <c r="E145" s="1125" t="s">
        <v>348</v>
      </c>
      <c r="F145" s="1537" t="s">
        <v>387</v>
      </c>
      <c r="G145" s="1543" t="s">
        <v>46</v>
      </c>
      <c r="H145" s="1122">
        <v>2018</v>
      </c>
      <c r="I145" s="1122"/>
      <c r="J145" s="1122">
        <v>2020</v>
      </c>
      <c r="K145" s="1548"/>
      <c r="L145" s="1548"/>
      <c r="M145" s="774" t="s">
        <v>532</v>
      </c>
      <c r="N145" s="1125">
        <v>4500</v>
      </c>
      <c r="O145" s="1125"/>
      <c r="P145" s="1125">
        <v>4500</v>
      </c>
      <c r="Q145" s="1125">
        <v>40</v>
      </c>
      <c r="R145" s="1125"/>
      <c r="S145" s="1125">
        <v>40</v>
      </c>
      <c r="T145" s="1125">
        <v>4000</v>
      </c>
      <c r="U145" s="1125">
        <f t="shared" si="52"/>
        <v>3960</v>
      </c>
      <c r="V145" s="776">
        <f>VLOOKUP($B145,QD!$B$9:$L$316,10,0)</f>
        <v>1188</v>
      </c>
      <c r="W145" s="776">
        <v>1188</v>
      </c>
      <c r="X145" s="776">
        <v>30</v>
      </c>
      <c r="Y145" s="1126"/>
      <c r="Z145" s="776">
        <f t="shared" si="49"/>
        <v>1188</v>
      </c>
      <c r="AA145" s="775">
        <f t="shared" si="58"/>
        <v>1228</v>
      </c>
      <c r="AB145" s="775">
        <f t="shared" si="59"/>
        <v>1188</v>
      </c>
      <c r="AC145" s="775">
        <f t="shared" si="60"/>
        <v>1228</v>
      </c>
      <c r="AD145" s="775">
        <f t="shared" si="61"/>
        <v>4000</v>
      </c>
      <c r="AE145" s="775">
        <f t="shared" si="62"/>
        <v>2772</v>
      </c>
      <c r="AF145" s="1126"/>
      <c r="AG145" s="821"/>
      <c r="AH145" s="1535" t="s">
        <v>771</v>
      </c>
      <c r="AK145" s="1174" t="s">
        <v>2040</v>
      </c>
      <c r="AL145" s="1174"/>
      <c r="AM145" s="832"/>
    </row>
    <row r="146" spans="1:47" ht="30" customHeight="1">
      <c r="A146" s="777">
        <v>121</v>
      </c>
      <c r="B146" s="1215" t="s">
        <v>899</v>
      </c>
      <c r="C146" s="1546"/>
      <c r="D146" s="1546"/>
      <c r="E146" s="1115" t="s">
        <v>348</v>
      </c>
      <c r="F146" s="780" t="s">
        <v>387</v>
      </c>
      <c r="G146" s="778" t="s">
        <v>33</v>
      </c>
      <c r="H146" s="358">
        <v>2018</v>
      </c>
      <c r="I146" s="358"/>
      <c r="J146" s="358">
        <v>2020</v>
      </c>
      <c r="K146" s="1546"/>
      <c r="L146" s="1546"/>
      <c r="M146" s="185" t="s">
        <v>752</v>
      </c>
      <c r="N146" s="1115">
        <v>3000</v>
      </c>
      <c r="O146" s="1115"/>
      <c r="P146" s="1115">
        <v>3000</v>
      </c>
      <c r="Q146" s="1115"/>
      <c r="R146" s="1115"/>
      <c r="S146" s="1115"/>
      <c r="T146" s="1115">
        <v>2700</v>
      </c>
      <c r="U146" s="1115">
        <f t="shared" si="52"/>
        <v>2700</v>
      </c>
      <c r="V146" s="776">
        <f>VLOOKUP($B146,QD!$B$9:$L$316,10,0)</f>
        <v>810</v>
      </c>
      <c r="W146" s="776">
        <v>810</v>
      </c>
      <c r="X146" s="776">
        <v>30</v>
      </c>
      <c r="Y146" s="1116"/>
      <c r="Z146" s="776">
        <f t="shared" si="49"/>
        <v>810</v>
      </c>
      <c r="AA146" s="775">
        <f t="shared" si="58"/>
        <v>810</v>
      </c>
      <c r="AB146" s="775">
        <f t="shared" si="59"/>
        <v>810</v>
      </c>
      <c r="AC146" s="775">
        <f t="shared" si="60"/>
        <v>810</v>
      </c>
      <c r="AD146" s="775">
        <f t="shared" si="61"/>
        <v>2700</v>
      </c>
      <c r="AE146" s="775">
        <f t="shared" si="62"/>
        <v>1890</v>
      </c>
      <c r="AF146" s="1116"/>
      <c r="AG146" s="776"/>
      <c r="AH146" s="1215" t="s">
        <v>606</v>
      </c>
      <c r="AK146" s="747" t="s">
        <v>2110</v>
      </c>
      <c r="AL146" s="747"/>
      <c r="AM146" s="746"/>
      <c r="AN146" s="1173"/>
    </row>
    <row r="147" spans="1:47" ht="30" customHeight="1">
      <c r="A147" s="777">
        <v>122</v>
      </c>
      <c r="B147" s="1215" t="s">
        <v>607</v>
      </c>
      <c r="C147" s="1546"/>
      <c r="D147" s="1546"/>
      <c r="E147" s="1115" t="s">
        <v>348</v>
      </c>
      <c r="F147" s="780" t="s">
        <v>387</v>
      </c>
      <c r="G147" s="778" t="s">
        <v>17</v>
      </c>
      <c r="H147" s="358">
        <v>2018</v>
      </c>
      <c r="I147" s="358"/>
      <c r="J147" s="358">
        <v>2020</v>
      </c>
      <c r="K147" s="1546"/>
      <c r="L147" s="1546"/>
      <c r="M147" s="185" t="s">
        <v>608</v>
      </c>
      <c r="N147" s="1115">
        <v>5500</v>
      </c>
      <c r="O147" s="1115"/>
      <c r="P147" s="1115">
        <v>5500</v>
      </c>
      <c r="Q147" s="1115"/>
      <c r="R147" s="1115"/>
      <c r="S147" s="1115"/>
      <c r="T147" s="1115">
        <v>2970</v>
      </c>
      <c r="U147" s="1115">
        <f t="shared" si="52"/>
        <v>2970</v>
      </c>
      <c r="V147" s="776">
        <f>VLOOKUP($B147,QD!$B$9:$L$316,10,0)</f>
        <v>891</v>
      </c>
      <c r="W147" s="776">
        <v>891</v>
      </c>
      <c r="X147" s="776">
        <v>30</v>
      </c>
      <c r="Y147" s="1116"/>
      <c r="Z147" s="776">
        <f t="shared" si="49"/>
        <v>891</v>
      </c>
      <c r="AA147" s="775">
        <f t="shared" si="58"/>
        <v>891</v>
      </c>
      <c r="AB147" s="775">
        <f t="shared" si="59"/>
        <v>891</v>
      </c>
      <c r="AC147" s="775">
        <f t="shared" si="60"/>
        <v>891</v>
      </c>
      <c r="AD147" s="775">
        <f t="shared" si="61"/>
        <v>2970</v>
      </c>
      <c r="AE147" s="775">
        <f t="shared" si="62"/>
        <v>2079</v>
      </c>
      <c r="AF147" s="1116"/>
      <c r="AG147" s="776"/>
      <c r="AH147" s="1215" t="s">
        <v>606</v>
      </c>
      <c r="AK147" s="747" t="s">
        <v>2029</v>
      </c>
      <c r="AL147" s="747"/>
      <c r="AM147" s="746"/>
      <c r="AN147" s="1173" t="s">
        <v>2087</v>
      </c>
    </row>
    <row r="148" spans="1:47" ht="30" customHeight="1">
      <c r="A148" s="777">
        <v>123</v>
      </c>
      <c r="B148" s="1215" t="s">
        <v>609</v>
      </c>
      <c r="C148" s="1546"/>
      <c r="D148" s="1546"/>
      <c r="E148" s="1115" t="s">
        <v>348</v>
      </c>
      <c r="F148" s="780" t="s">
        <v>387</v>
      </c>
      <c r="G148" s="203" t="s">
        <v>49</v>
      </c>
      <c r="H148" s="358">
        <v>2018</v>
      </c>
      <c r="I148" s="358"/>
      <c r="J148" s="358">
        <v>2020</v>
      </c>
      <c r="K148" s="1546"/>
      <c r="L148" s="1546"/>
      <c r="M148" s="185" t="s">
        <v>912</v>
      </c>
      <c r="N148" s="1115">
        <v>6500</v>
      </c>
      <c r="O148" s="1115"/>
      <c r="P148" s="1115">
        <v>3900</v>
      </c>
      <c r="Q148" s="1115"/>
      <c r="R148" s="1115"/>
      <c r="S148" s="1115"/>
      <c r="T148" s="1115">
        <v>3900</v>
      </c>
      <c r="U148" s="1115">
        <f t="shared" si="52"/>
        <v>3900</v>
      </c>
      <c r="V148" s="776">
        <f>VLOOKUP($B148,QD!$B$9:$L$316,10,0)</f>
        <v>1170</v>
      </c>
      <c r="W148" s="776">
        <v>1170</v>
      </c>
      <c r="X148" s="776">
        <v>30</v>
      </c>
      <c r="Y148" s="1116"/>
      <c r="Z148" s="776">
        <f t="shared" si="49"/>
        <v>1170</v>
      </c>
      <c r="AA148" s="775">
        <f t="shared" si="58"/>
        <v>1170</v>
      </c>
      <c r="AB148" s="775">
        <f t="shared" si="59"/>
        <v>1170</v>
      </c>
      <c r="AC148" s="775">
        <f t="shared" si="60"/>
        <v>1170</v>
      </c>
      <c r="AD148" s="775">
        <f t="shared" si="61"/>
        <v>3900</v>
      </c>
      <c r="AE148" s="775">
        <f t="shared" si="62"/>
        <v>2730</v>
      </c>
      <c r="AF148" s="1116"/>
      <c r="AG148" s="776"/>
      <c r="AH148" s="1215" t="s">
        <v>610</v>
      </c>
      <c r="AK148" s="747" t="s">
        <v>2041</v>
      </c>
      <c r="AL148" s="747"/>
      <c r="AM148" s="746"/>
      <c r="AN148" s="1173" t="s">
        <v>2087</v>
      </c>
    </row>
    <row r="149" spans="1:47">
      <c r="A149" s="797" t="s">
        <v>562</v>
      </c>
      <c r="B149" s="798" t="s">
        <v>1091</v>
      </c>
      <c r="C149" s="798"/>
      <c r="D149" s="798"/>
      <c r="E149" s="798"/>
      <c r="F149" s="798"/>
      <c r="G149" s="715"/>
      <c r="H149" s="715"/>
      <c r="I149" s="715"/>
      <c r="J149" s="715"/>
      <c r="K149" s="715"/>
      <c r="L149" s="715"/>
      <c r="M149" s="715"/>
      <c r="N149" s="823">
        <f t="shared" ref="N149:AC149" si="63">SUBTOTAL(109,N151:N179)</f>
        <v>116949</v>
      </c>
      <c r="O149" s="823">
        <f t="shared" si="63"/>
        <v>0</v>
      </c>
      <c r="P149" s="823">
        <f t="shared" si="63"/>
        <v>106274</v>
      </c>
      <c r="Q149" s="823">
        <f t="shared" si="63"/>
        <v>0</v>
      </c>
      <c r="R149" s="823">
        <f t="shared" si="63"/>
        <v>0</v>
      </c>
      <c r="S149" s="823">
        <f t="shared" si="63"/>
        <v>0</v>
      </c>
      <c r="T149" s="823">
        <f t="shared" si="63"/>
        <v>0</v>
      </c>
      <c r="U149" s="823">
        <f t="shared" si="63"/>
        <v>0</v>
      </c>
      <c r="V149" s="823">
        <f t="shared" si="63"/>
        <v>0</v>
      </c>
      <c r="W149" s="823">
        <f t="shared" si="63"/>
        <v>0</v>
      </c>
      <c r="X149" s="823">
        <f t="shared" si="63"/>
        <v>0</v>
      </c>
      <c r="Y149" s="823">
        <f t="shared" si="63"/>
        <v>0</v>
      </c>
      <c r="Z149" s="823">
        <f t="shared" si="63"/>
        <v>0</v>
      </c>
      <c r="AA149" s="823">
        <f t="shared" si="63"/>
        <v>0</v>
      </c>
      <c r="AB149" s="823">
        <f t="shared" si="63"/>
        <v>0</v>
      </c>
      <c r="AC149" s="823">
        <f t="shared" si="63"/>
        <v>0</v>
      </c>
      <c r="AD149" s="823">
        <f>SUBTOTAL(109,AD150:AD179)</f>
        <v>58248</v>
      </c>
      <c r="AE149" s="823">
        <f>SUBTOTAL(109,AE150:AE179)</f>
        <v>58248</v>
      </c>
      <c r="AF149" s="823">
        <f>SUBTOTAL(109,AF151:AF179)</f>
        <v>0</v>
      </c>
      <c r="AG149" s="800"/>
      <c r="AH149" s="800"/>
      <c r="AK149" s="747"/>
      <c r="AL149" s="747"/>
      <c r="AM149" s="746"/>
      <c r="AO149" s="824"/>
      <c r="AP149" s="802"/>
      <c r="AQ149" s="716"/>
      <c r="AS149" s="802"/>
      <c r="AT149" s="802"/>
      <c r="AU149" s="803"/>
    </row>
    <row r="150" spans="1:47" ht="35.25" customHeight="1">
      <c r="A150" s="825" t="s">
        <v>821</v>
      </c>
      <c r="B150" s="826" t="s">
        <v>1614</v>
      </c>
      <c r="C150" s="826"/>
      <c r="D150" s="826"/>
      <c r="E150" s="826"/>
      <c r="F150" s="826"/>
      <c r="G150" s="827"/>
      <c r="H150" s="827"/>
      <c r="I150" s="827"/>
      <c r="J150" s="827"/>
      <c r="K150" s="827"/>
      <c r="L150" s="827"/>
      <c r="M150" s="827"/>
      <c r="N150" s="828"/>
      <c r="O150" s="828"/>
      <c r="P150" s="828"/>
      <c r="Q150" s="828"/>
      <c r="R150" s="828"/>
      <c r="S150" s="828"/>
      <c r="T150" s="828"/>
      <c r="U150" s="828"/>
      <c r="V150" s="828"/>
      <c r="W150" s="828"/>
      <c r="X150" s="828"/>
      <c r="Y150" s="828"/>
      <c r="Z150" s="829"/>
      <c r="AA150" s="828"/>
      <c r="AB150" s="828"/>
      <c r="AC150" s="828"/>
      <c r="AD150" s="828"/>
      <c r="AE150" s="828"/>
      <c r="AF150" s="828"/>
      <c r="AG150" s="830"/>
      <c r="AH150" s="830"/>
      <c r="AK150" s="747"/>
      <c r="AL150" s="747"/>
      <c r="AM150" s="746"/>
      <c r="AO150" s="831"/>
      <c r="AP150" s="832"/>
      <c r="AQ150" s="833"/>
      <c r="AS150" s="832"/>
      <c r="AT150" s="832"/>
      <c r="AU150" s="834"/>
    </row>
    <row r="151" spans="1:47" ht="102">
      <c r="A151" s="804">
        <v>1</v>
      </c>
      <c r="B151" s="835" t="s">
        <v>1092</v>
      </c>
      <c r="C151" s="835"/>
      <c r="D151" s="835"/>
      <c r="E151" s="835"/>
      <c r="F151" s="835"/>
      <c r="G151" s="836" t="s">
        <v>9</v>
      </c>
      <c r="H151" s="358">
        <v>2019</v>
      </c>
      <c r="I151" s="358"/>
      <c r="J151" s="358">
        <v>2021</v>
      </c>
      <c r="K151" s="358"/>
      <c r="L151" s="358"/>
      <c r="M151" s="478" t="s">
        <v>1632</v>
      </c>
      <c r="N151" s="837">
        <v>4000</v>
      </c>
      <c r="O151" s="837"/>
      <c r="P151" s="837">
        <v>4000</v>
      </c>
      <c r="Q151" s="837"/>
      <c r="R151" s="837"/>
      <c r="S151" s="837"/>
      <c r="T151" s="837"/>
      <c r="U151" s="837"/>
      <c r="V151" s="837"/>
      <c r="W151" s="837"/>
      <c r="X151" s="837"/>
      <c r="Y151" s="837"/>
      <c r="Z151" s="776">
        <f t="shared" si="49"/>
        <v>0</v>
      </c>
      <c r="AA151" s="837"/>
      <c r="AB151" s="837"/>
      <c r="AC151" s="837"/>
      <c r="AD151" s="838">
        <v>2160</v>
      </c>
      <c r="AE151" s="807">
        <v>2160</v>
      </c>
      <c r="AF151" s="807"/>
      <c r="AG151" s="804"/>
      <c r="AH151" s="478" t="s">
        <v>1093</v>
      </c>
      <c r="AK151" s="747" t="s">
        <v>2042</v>
      </c>
      <c r="AL151" s="747"/>
      <c r="AM151" s="746"/>
      <c r="AO151" s="824" t="s">
        <v>1094</v>
      </c>
      <c r="AP151" s="824" t="s">
        <v>1095</v>
      </c>
      <c r="AQ151" s="839" t="s">
        <v>1096</v>
      </c>
      <c r="AS151" s="802"/>
      <c r="AT151" s="802"/>
      <c r="AU151" s="803"/>
    </row>
    <row r="152" spans="1:47" ht="76.5">
      <c r="A152" s="804">
        <v>2</v>
      </c>
      <c r="B152" s="840" t="s">
        <v>1105</v>
      </c>
      <c r="C152" s="840"/>
      <c r="D152" s="840"/>
      <c r="E152" s="840"/>
      <c r="F152" s="840"/>
      <c r="G152" s="841" t="s">
        <v>33</v>
      </c>
      <c r="H152" s="358">
        <v>2019</v>
      </c>
      <c r="I152" s="358"/>
      <c r="J152" s="358">
        <v>2021</v>
      </c>
      <c r="K152" s="358"/>
      <c r="L152" s="358"/>
      <c r="M152" s="842" t="s">
        <v>1106</v>
      </c>
      <c r="N152" s="843">
        <v>5375</v>
      </c>
      <c r="O152" s="843"/>
      <c r="P152" s="843">
        <v>2700</v>
      </c>
      <c r="Q152" s="843"/>
      <c r="R152" s="843"/>
      <c r="S152" s="843"/>
      <c r="T152" s="843"/>
      <c r="U152" s="843"/>
      <c r="V152" s="843"/>
      <c r="W152" s="843"/>
      <c r="X152" s="843"/>
      <c r="Y152" s="843"/>
      <c r="Z152" s="776">
        <f t="shared" si="49"/>
        <v>0</v>
      </c>
      <c r="AA152" s="843"/>
      <c r="AB152" s="843"/>
      <c r="AC152" s="843"/>
      <c r="AD152" s="838">
        <v>2700</v>
      </c>
      <c r="AE152" s="807">
        <v>2700</v>
      </c>
      <c r="AF152" s="807"/>
      <c r="AG152" s="844"/>
      <c r="AH152" s="800"/>
      <c r="AK152" s="747" t="s">
        <v>2043</v>
      </c>
      <c r="AL152" s="747"/>
      <c r="AM152" s="746"/>
      <c r="AN152" s="1173" t="s">
        <v>2087</v>
      </c>
      <c r="AO152" s="824" t="s">
        <v>1107</v>
      </c>
      <c r="AP152" s="824" t="s">
        <v>1108</v>
      </c>
      <c r="AQ152" s="839" t="s">
        <v>1109</v>
      </c>
      <c r="AS152" s="802"/>
      <c r="AT152" s="802"/>
      <c r="AU152" s="803"/>
    </row>
    <row r="153" spans="1:47" ht="102">
      <c r="A153" s="804">
        <v>3</v>
      </c>
      <c r="B153" s="840" t="s">
        <v>1110</v>
      </c>
      <c r="C153" s="840"/>
      <c r="D153" s="840"/>
      <c r="E153" s="840"/>
      <c r="F153" s="840"/>
      <c r="G153" s="841" t="s">
        <v>9</v>
      </c>
      <c r="H153" s="358">
        <v>2019</v>
      </c>
      <c r="I153" s="358"/>
      <c r="J153" s="358">
        <v>2021</v>
      </c>
      <c r="K153" s="358"/>
      <c r="L153" s="358"/>
      <c r="M153" s="478" t="s">
        <v>1633</v>
      </c>
      <c r="N153" s="843">
        <v>4000</v>
      </c>
      <c r="O153" s="843"/>
      <c r="P153" s="843">
        <v>3000</v>
      </c>
      <c r="Q153" s="843"/>
      <c r="R153" s="843"/>
      <c r="S153" s="843"/>
      <c r="T153" s="843"/>
      <c r="U153" s="843"/>
      <c r="V153" s="843"/>
      <c r="W153" s="843"/>
      <c r="X153" s="843"/>
      <c r="Y153" s="843"/>
      <c r="Z153" s="776">
        <f t="shared" si="49"/>
        <v>0</v>
      </c>
      <c r="AA153" s="843"/>
      <c r="AB153" s="843"/>
      <c r="AC153" s="843"/>
      <c r="AD153" s="838">
        <v>1620</v>
      </c>
      <c r="AE153" s="807">
        <v>1620</v>
      </c>
      <c r="AF153" s="807"/>
      <c r="AG153" s="844"/>
      <c r="AH153" s="478" t="s">
        <v>1093</v>
      </c>
      <c r="AK153" s="747" t="s">
        <v>2044</v>
      </c>
      <c r="AL153" s="747"/>
      <c r="AM153" s="746"/>
      <c r="AN153" s="1173" t="s">
        <v>2087</v>
      </c>
      <c r="AO153" s="824" t="s">
        <v>1111</v>
      </c>
      <c r="AP153" s="824" t="s">
        <v>1112</v>
      </c>
      <c r="AQ153" s="839" t="s">
        <v>1113</v>
      </c>
      <c r="AS153" s="802"/>
      <c r="AT153" s="802"/>
      <c r="AU153" s="803"/>
    </row>
    <row r="154" spans="1:47" ht="51">
      <c r="A154" s="804">
        <v>4</v>
      </c>
      <c r="B154" s="840" t="s">
        <v>1114</v>
      </c>
      <c r="C154" s="840"/>
      <c r="D154" s="840"/>
      <c r="E154" s="840"/>
      <c r="F154" s="840"/>
      <c r="G154" s="841" t="s">
        <v>33</v>
      </c>
      <c r="H154" s="358">
        <v>2019</v>
      </c>
      <c r="I154" s="358"/>
      <c r="J154" s="358">
        <v>2021</v>
      </c>
      <c r="K154" s="358"/>
      <c r="L154" s="358"/>
      <c r="M154" s="714" t="s">
        <v>1841</v>
      </c>
      <c r="N154" s="838">
        <v>5000</v>
      </c>
      <c r="O154" s="838"/>
      <c r="P154" s="838">
        <f t="shared" ref="P154:P158" si="64">N154*0.6</f>
        <v>3000</v>
      </c>
      <c r="Q154" s="838"/>
      <c r="R154" s="838"/>
      <c r="S154" s="838"/>
      <c r="T154" s="838"/>
      <c r="U154" s="838"/>
      <c r="V154" s="838"/>
      <c r="W154" s="838"/>
      <c r="X154" s="838"/>
      <c r="Y154" s="838"/>
      <c r="Z154" s="776">
        <f t="shared" si="49"/>
        <v>0</v>
      </c>
      <c r="AA154" s="838"/>
      <c r="AB154" s="838"/>
      <c r="AC154" s="838"/>
      <c r="AD154" s="838">
        <v>1620</v>
      </c>
      <c r="AE154" s="807">
        <v>1620</v>
      </c>
      <c r="AF154" s="807"/>
      <c r="AG154" s="844"/>
      <c r="AH154" s="478" t="s">
        <v>1093</v>
      </c>
      <c r="AK154" s="747" t="s">
        <v>1990</v>
      </c>
      <c r="AL154" s="747"/>
      <c r="AM154" s="746"/>
      <c r="AN154" s="1173" t="s">
        <v>2087</v>
      </c>
      <c r="AO154" s="824" t="s">
        <v>1115</v>
      </c>
      <c r="AP154" s="824" t="s">
        <v>1116</v>
      </c>
      <c r="AQ154" s="845" t="s">
        <v>1117</v>
      </c>
      <c r="AS154" s="802"/>
      <c r="AT154" s="802"/>
      <c r="AU154" s="803"/>
    </row>
    <row r="155" spans="1:47" ht="51">
      <c r="A155" s="804">
        <v>5</v>
      </c>
      <c r="B155" s="840" t="s">
        <v>1118</v>
      </c>
      <c r="C155" s="840"/>
      <c r="D155" s="840"/>
      <c r="E155" s="840"/>
      <c r="F155" s="840"/>
      <c r="G155" s="841" t="s">
        <v>46</v>
      </c>
      <c r="H155" s="358">
        <v>2019</v>
      </c>
      <c r="I155" s="358"/>
      <c r="J155" s="358">
        <v>2021</v>
      </c>
      <c r="K155" s="358"/>
      <c r="L155" s="358"/>
      <c r="M155" s="846" t="s">
        <v>1119</v>
      </c>
      <c r="N155" s="838">
        <v>5500</v>
      </c>
      <c r="O155" s="838"/>
      <c r="P155" s="838">
        <v>5500</v>
      </c>
      <c r="Q155" s="838"/>
      <c r="R155" s="838"/>
      <c r="S155" s="838"/>
      <c r="T155" s="838"/>
      <c r="U155" s="838"/>
      <c r="V155" s="838"/>
      <c r="W155" s="838"/>
      <c r="X155" s="838"/>
      <c r="Y155" s="838"/>
      <c r="Z155" s="776">
        <f t="shared" si="49"/>
        <v>0</v>
      </c>
      <c r="AA155" s="838"/>
      <c r="AB155" s="838"/>
      <c r="AC155" s="838"/>
      <c r="AD155" s="838">
        <v>2970</v>
      </c>
      <c r="AE155" s="807">
        <v>2970</v>
      </c>
      <c r="AF155" s="807"/>
      <c r="AG155" s="844"/>
      <c r="AH155" s="800"/>
      <c r="AK155" s="747" t="s">
        <v>2019</v>
      </c>
      <c r="AL155" s="747"/>
      <c r="AM155" s="746"/>
      <c r="AN155" s="1173" t="s">
        <v>2087</v>
      </c>
      <c r="AO155" s="824" t="s">
        <v>1120</v>
      </c>
      <c r="AP155" s="824" t="s">
        <v>1116</v>
      </c>
      <c r="AQ155" s="845" t="s">
        <v>1121</v>
      </c>
      <c r="AS155" s="802"/>
      <c r="AT155" s="802"/>
      <c r="AU155" s="803"/>
    </row>
    <row r="156" spans="1:47" ht="51">
      <c r="A156" s="804">
        <v>8</v>
      </c>
      <c r="B156" s="840" t="s">
        <v>1125</v>
      </c>
      <c r="C156" s="840"/>
      <c r="D156" s="840"/>
      <c r="E156" s="840"/>
      <c r="F156" s="840"/>
      <c r="G156" s="841" t="s">
        <v>44</v>
      </c>
      <c r="H156" s="358">
        <v>2019</v>
      </c>
      <c r="I156" s="358"/>
      <c r="J156" s="358">
        <v>2021</v>
      </c>
      <c r="K156" s="358"/>
      <c r="L156" s="358"/>
      <c r="M156" s="842" t="s">
        <v>1126</v>
      </c>
      <c r="N156" s="843">
        <v>2874</v>
      </c>
      <c r="O156" s="843"/>
      <c r="P156" s="843">
        <v>2874</v>
      </c>
      <c r="Q156" s="843"/>
      <c r="R156" s="843"/>
      <c r="S156" s="843"/>
      <c r="T156" s="843"/>
      <c r="U156" s="843"/>
      <c r="V156" s="843"/>
      <c r="W156" s="843"/>
      <c r="X156" s="843"/>
      <c r="Y156" s="843"/>
      <c r="Z156" s="776">
        <f t="shared" ref="Z156:Z229" si="65">V156+Y156</f>
        <v>0</v>
      </c>
      <c r="AA156" s="843"/>
      <c r="AB156" s="843"/>
      <c r="AC156" s="843"/>
      <c r="AD156" s="838">
        <v>1620</v>
      </c>
      <c r="AE156" s="807">
        <v>1620</v>
      </c>
      <c r="AF156" s="807"/>
      <c r="AG156" s="844"/>
      <c r="AH156" s="800"/>
      <c r="AK156" s="747" t="s">
        <v>2035</v>
      </c>
      <c r="AL156" s="747"/>
      <c r="AM156" s="746"/>
      <c r="AN156" s="1173"/>
      <c r="AO156" s="824" t="s">
        <v>1054</v>
      </c>
      <c r="AP156" s="824" t="s">
        <v>1116</v>
      </c>
      <c r="AQ156" s="845" t="s">
        <v>1109</v>
      </c>
      <c r="AS156" s="802"/>
      <c r="AT156" s="802"/>
      <c r="AU156" s="803"/>
    </row>
    <row r="157" spans="1:47" ht="51">
      <c r="A157" s="804">
        <v>9</v>
      </c>
      <c r="B157" s="840" t="s">
        <v>2070</v>
      </c>
      <c r="C157" s="840"/>
      <c r="D157" s="840"/>
      <c r="E157" s="840"/>
      <c r="F157" s="840"/>
      <c r="G157" s="841" t="s">
        <v>26</v>
      </c>
      <c r="H157" s="358">
        <v>2019</v>
      </c>
      <c r="I157" s="358"/>
      <c r="J157" s="358">
        <v>2021</v>
      </c>
      <c r="K157" s="358"/>
      <c r="L157" s="358"/>
      <c r="M157" s="842" t="s">
        <v>2140</v>
      </c>
      <c r="N157" s="838">
        <v>5000</v>
      </c>
      <c r="O157" s="838"/>
      <c r="P157" s="838">
        <v>5000</v>
      </c>
      <c r="Q157" s="838"/>
      <c r="R157" s="838"/>
      <c r="S157" s="838"/>
      <c r="T157" s="838"/>
      <c r="U157" s="838"/>
      <c r="V157" s="838"/>
      <c r="W157" s="838"/>
      <c r="X157" s="838"/>
      <c r="Y157" s="838"/>
      <c r="Z157" s="776">
        <f t="shared" si="65"/>
        <v>0</v>
      </c>
      <c r="AA157" s="838"/>
      <c r="AB157" s="838"/>
      <c r="AC157" s="838"/>
      <c r="AD157" s="838">
        <v>2700</v>
      </c>
      <c r="AE157" s="807">
        <v>2700</v>
      </c>
      <c r="AF157" s="807"/>
      <c r="AG157" s="844"/>
      <c r="AH157" s="800"/>
      <c r="AK157" s="747" t="s">
        <v>2025</v>
      </c>
      <c r="AL157" s="747"/>
      <c r="AM157" s="746"/>
      <c r="AN157" s="1173"/>
      <c r="AO157" s="824" t="s">
        <v>1127</v>
      </c>
      <c r="AP157" s="824" t="s">
        <v>1116</v>
      </c>
      <c r="AQ157" s="845" t="s">
        <v>1128</v>
      </c>
      <c r="AS157" s="802"/>
      <c r="AT157" s="802"/>
      <c r="AU157" s="803"/>
    </row>
    <row r="158" spans="1:47" ht="38.25">
      <c r="A158" s="804">
        <v>10</v>
      </c>
      <c r="B158" s="840" t="s">
        <v>1129</v>
      </c>
      <c r="C158" s="840"/>
      <c r="D158" s="840"/>
      <c r="E158" s="840"/>
      <c r="F158" s="840"/>
      <c r="G158" s="841" t="s">
        <v>46</v>
      </c>
      <c r="H158" s="358">
        <v>2019</v>
      </c>
      <c r="I158" s="358"/>
      <c r="J158" s="358">
        <v>2021</v>
      </c>
      <c r="K158" s="358"/>
      <c r="L158" s="358"/>
      <c r="M158" s="714" t="s">
        <v>1842</v>
      </c>
      <c r="N158" s="838">
        <v>4000</v>
      </c>
      <c r="O158" s="838"/>
      <c r="P158" s="838">
        <f t="shared" si="64"/>
        <v>2400</v>
      </c>
      <c r="Q158" s="838"/>
      <c r="R158" s="838"/>
      <c r="S158" s="838"/>
      <c r="T158" s="838"/>
      <c r="U158" s="838"/>
      <c r="V158" s="838"/>
      <c r="W158" s="838"/>
      <c r="X158" s="838"/>
      <c r="Y158" s="838"/>
      <c r="Z158" s="776">
        <f t="shared" si="65"/>
        <v>0</v>
      </c>
      <c r="AA158" s="838"/>
      <c r="AB158" s="838"/>
      <c r="AC158" s="838"/>
      <c r="AD158" s="838">
        <v>2160</v>
      </c>
      <c r="AE158" s="807">
        <v>2160</v>
      </c>
      <c r="AF158" s="807"/>
      <c r="AG158" s="844"/>
      <c r="AH158" s="800"/>
      <c r="AK158" s="747" t="s">
        <v>2007</v>
      </c>
      <c r="AL158" s="747"/>
      <c r="AM158" s="746"/>
      <c r="AN158" s="1173" t="s">
        <v>2087</v>
      </c>
      <c r="AO158" s="824" t="s">
        <v>1130</v>
      </c>
      <c r="AP158" s="824" t="s">
        <v>1116</v>
      </c>
      <c r="AQ158" s="1122"/>
      <c r="AS158" s="802"/>
      <c r="AT158" s="802"/>
      <c r="AU158" s="803"/>
    </row>
    <row r="159" spans="1:47" ht="38.25">
      <c r="A159" s="804">
        <v>11</v>
      </c>
      <c r="B159" s="840" t="s">
        <v>1131</v>
      </c>
      <c r="C159" s="840"/>
      <c r="D159" s="840"/>
      <c r="E159" s="840"/>
      <c r="F159" s="840"/>
      <c r="G159" s="841" t="s">
        <v>17</v>
      </c>
      <c r="H159" s="358">
        <v>2019</v>
      </c>
      <c r="I159" s="358"/>
      <c r="J159" s="358">
        <v>2021</v>
      </c>
      <c r="K159" s="358"/>
      <c r="L159" s="358"/>
      <c r="M159" s="516" t="s">
        <v>1631</v>
      </c>
      <c r="N159" s="838">
        <v>3000</v>
      </c>
      <c r="O159" s="838"/>
      <c r="P159" s="843">
        <v>3000</v>
      </c>
      <c r="Q159" s="843"/>
      <c r="R159" s="843"/>
      <c r="S159" s="843"/>
      <c r="T159" s="843"/>
      <c r="U159" s="843"/>
      <c r="V159" s="843"/>
      <c r="W159" s="843"/>
      <c r="X159" s="843"/>
      <c r="Y159" s="843"/>
      <c r="Z159" s="776">
        <f t="shared" si="65"/>
        <v>0</v>
      </c>
      <c r="AA159" s="843"/>
      <c r="AB159" s="843"/>
      <c r="AC159" s="843"/>
      <c r="AD159" s="838">
        <v>1620</v>
      </c>
      <c r="AE159" s="807">
        <v>1620</v>
      </c>
      <c r="AF159" s="807"/>
      <c r="AG159" s="844"/>
      <c r="AH159" s="478" t="s">
        <v>1132</v>
      </c>
      <c r="AK159" s="747" t="s">
        <v>1960</v>
      </c>
      <c r="AL159" s="747"/>
      <c r="AM159" s="746" t="s">
        <v>2081</v>
      </c>
      <c r="AN159" s="1173" t="s">
        <v>2087</v>
      </c>
      <c r="AO159" s="824" t="s">
        <v>905</v>
      </c>
      <c r="AP159" s="824" t="s">
        <v>1116</v>
      </c>
      <c r="AQ159" s="1122"/>
      <c r="AS159" s="802"/>
      <c r="AT159" s="802"/>
      <c r="AU159" s="803"/>
    </row>
    <row r="160" spans="1:47" ht="51">
      <c r="A160" s="804">
        <v>12</v>
      </c>
      <c r="B160" s="840" t="s">
        <v>1133</v>
      </c>
      <c r="C160" s="840"/>
      <c r="D160" s="840"/>
      <c r="E160" s="840"/>
      <c r="F160" s="840"/>
      <c r="G160" s="841" t="s">
        <v>33</v>
      </c>
      <c r="H160" s="358">
        <v>2019</v>
      </c>
      <c r="I160" s="358"/>
      <c r="J160" s="358">
        <v>2021</v>
      </c>
      <c r="K160" s="358"/>
      <c r="L160" s="358"/>
      <c r="M160" s="516" t="s">
        <v>2135</v>
      </c>
      <c r="N160" s="838">
        <v>5500</v>
      </c>
      <c r="O160" s="838"/>
      <c r="P160" s="838">
        <v>5500</v>
      </c>
      <c r="Q160" s="838"/>
      <c r="R160" s="838"/>
      <c r="S160" s="838"/>
      <c r="T160" s="838"/>
      <c r="U160" s="838"/>
      <c r="V160" s="838"/>
      <c r="W160" s="838"/>
      <c r="X160" s="838"/>
      <c r="Y160" s="838"/>
      <c r="Z160" s="776">
        <f t="shared" si="65"/>
        <v>0</v>
      </c>
      <c r="AA160" s="838"/>
      <c r="AB160" s="838"/>
      <c r="AC160" s="838"/>
      <c r="AD160" s="838">
        <v>2970</v>
      </c>
      <c r="AE160" s="807">
        <v>2970</v>
      </c>
      <c r="AF160" s="807"/>
      <c r="AG160" s="844"/>
      <c r="AH160" s="800"/>
      <c r="AK160" s="747" t="s">
        <v>2033</v>
      </c>
      <c r="AL160" s="747"/>
      <c r="AM160" s="746"/>
      <c r="AN160" s="1173"/>
      <c r="AO160" s="824" t="s">
        <v>1134</v>
      </c>
      <c r="AP160" s="824" t="s">
        <v>1116</v>
      </c>
      <c r="AQ160" s="845" t="s">
        <v>1135</v>
      </c>
      <c r="AS160" s="802"/>
      <c r="AT160" s="802"/>
      <c r="AU160" s="803"/>
    </row>
    <row r="161" spans="1:47" ht="51">
      <c r="A161" s="804">
        <v>13</v>
      </c>
      <c r="B161" s="835" t="s">
        <v>1136</v>
      </c>
      <c r="C161" s="835"/>
      <c r="D161" s="835"/>
      <c r="E161" s="835"/>
      <c r="F161" s="835"/>
      <c r="G161" s="836" t="s">
        <v>17</v>
      </c>
      <c r="H161" s="358">
        <v>2019</v>
      </c>
      <c r="I161" s="358"/>
      <c r="J161" s="358">
        <v>2021</v>
      </c>
      <c r="K161" s="358"/>
      <c r="L161" s="358"/>
      <c r="M161" s="477" t="s">
        <v>1137</v>
      </c>
      <c r="N161" s="837">
        <v>3000</v>
      </c>
      <c r="O161" s="837"/>
      <c r="P161" s="843">
        <v>3000</v>
      </c>
      <c r="Q161" s="843"/>
      <c r="R161" s="843"/>
      <c r="S161" s="843"/>
      <c r="T161" s="843"/>
      <c r="U161" s="843"/>
      <c r="V161" s="843"/>
      <c r="W161" s="843"/>
      <c r="X161" s="843"/>
      <c r="Y161" s="843"/>
      <c r="Z161" s="776">
        <f t="shared" si="65"/>
        <v>0</v>
      </c>
      <c r="AA161" s="843"/>
      <c r="AB161" s="843"/>
      <c r="AC161" s="843"/>
      <c r="AD161" s="838">
        <v>1620</v>
      </c>
      <c r="AE161" s="807">
        <v>1620</v>
      </c>
      <c r="AF161" s="807"/>
      <c r="AG161" s="844"/>
      <c r="AH161" s="478" t="s">
        <v>1132</v>
      </c>
      <c r="AK161" s="747" t="s">
        <v>1951</v>
      </c>
      <c r="AL161" s="747"/>
      <c r="AM161" s="746"/>
      <c r="AN161" s="1173" t="s">
        <v>2087</v>
      </c>
      <c r="AO161" s="847" t="s">
        <v>922</v>
      </c>
      <c r="AP161" s="824" t="s">
        <v>1116</v>
      </c>
      <c r="AQ161" s="839" t="s">
        <v>1138</v>
      </c>
      <c r="AS161" s="802"/>
      <c r="AT161" s="802"/>
      <c r="AU161" s="803"/>
    </row>
    <row r="162" spans="1:47" ht="51">
      <c r="A162" s="804">
        <v>14</v>
      </c>
      <c r="B162" s="835" t="s">
        <v>1139</v>
      </c>
      <c r="C162" s="835"/>
      <c r="D162" s="835"/>
      <c r="E162" s="835"/>
      <c r="F162" s="835"/>
      <c r="G162" s="836" t="s">
        <v>44</v>
      </c>
      <c r="H162" s="358">
        <v>2019</v>
      </c>
      <c r="I162" s="358"/>
      <c r="J162" s="358">
        <v>2021</v>
      </c>
      <c r="K162" s="358"/>
      <c r="L162" s="358"/>
      <c r="M162" s="714" t="s">
        <v>1843</v>
      </c>
      <c r="N162" s="837">
        <v>3000</v>
      </c>
      <c r="O162" s="837"/>
      <c r="P162" s="843">
        <v>3000</v>
      </c>
      <c r="Q162" s="843"/>
      <c r="R162" s="843"/>
      <c r="S162" s="843"/>
      <c r="T162" s="843"/>
      <c r="U162" s="843"/>
      <c r="V162" s="843"/>
      <c r="W162" s="843"/>
      <c r="X162" s="843"/>
      <c r="Y162" s="843"/>
      <c r="Z162" s="776">
        <f t="shared" si="65"/>
        <v>0</v>
      </c>
      <c r="AA162" s="843"/>
      <c r="AB162" s="843"/>
      <c r="AC162" s="843"/>
      <c r="AD162" s="838">
        <v>1620</v>
      </c>
      <c r="AE162" s="807">
        <v>1620</v>
      </c>
      <c r="AF162" s="807"/>
      <c r="AG162" s="844"/>
      <c r="AH162" s="478" t="s">
        <v>1132</v>
      </c>
      <c r="AK162" s="747" t="s">
        <v>2045</v>
      </c>
      <c r="AL162" s="747"/>
      <c r="AM162" s="746" t="s">
        <v>2081</v>
      </c>
      <c r="AN162" s="1173" t="s">
        <v>2087</v>
      </c>
      <c r="AO162" s="837" t="s">
        <v>1140</v>
      </c>
      <c r="AP162" s="824" t="s">
        <v>1116</v>
      </c>
      <c r="AQ162" s="845" t="s">
        <v>1141</v>
      </c>
      <c r="AS162" s="802"/>
      <c r="AT162" s="802"/>
      <c r="AU162" s="803"/>
    </row>
    <row r="163" spans="1:47" ht="102">
      <c r="A163" s="804">
        <v>15</v>
      </c>
      <c r="B163" s="835" t="s">
        <v>1142</v>
      </c>
      <c r="C163" s="835"/>
      <c r="D163" s="835"/>
      <c r="E163" s="835"/>
      <c r="F163" s="835"/>
      <c r="G163" s="836" t="s">
        <v>33</v>
      </c>
      <c r="H163" s="358">
        <v>2019</v>
      </c>
      <c r="I163" s="358"/>
      <c r="J163" s="358">
        <v>2021</v>
      </c>
      <c r="K163" s="358"/>
      <c r="L163" s="358"/>
      <c r="M163" s="477" t="s">
        <v>1143</v>
      </c>
      <c r="N163" s="837">
        <v>3000</v>
      </c>
      <c r="O163" s="837"/>
      <c r="P163" s="843">
        <v>3000</v>
      </c>
      <c r="Q163" s="843"/>
      <c r="R163" s="843"/>
      <c r="S163" s="843"/>
      <c r="T163" s="843"/>
      <c r="U163" s="843"/>
      <c r="V163" s="843"/>
      <c r="W163" s="843"/>
      <c r="X163" s="843"/>
      <c r="Y163" s="843"/>
      <c r="Z163" s="776">
        <f t="shared" si="65"/>
        <v>0</v>
      </c>
      <c r="AA163" s="843"/>
      <c r="AB163" s="843"/>
      <c r="AC163" s="843"/>
      <c r="AD163" s="838">
        <v>1620</v>
      </c>
      <c r="AE163" s="807">
        <v>1620</v>
      </c>
      <c r="AF163" s="807"/>
      <c r="AG163" s="844"/>
      <c r="AH163" s="478" t="s">
        <v>1132</v>
      </c>
      <c r="AK163" s="747" t="s">
        <v>2046</v>
      </c>
      <c r="AL163" s="747"/>
      <c r="AM163" s="746"/>
      <c r="AN163" s="1173" t="s">
        <v>2087</v>
      </c>
      <c r="AO163" s="837" t="s">
        <v>1144</v>
      </c>
      <c r="AP163" s="824" t="s">
        <v>1116</v>
      </c>
      <c r="AQ163" s="839" t="s">
        <v>1145</v>
      </c>
      <c r="AS163" s="802"/>
      <c r="AT163" s="802"/>
      <c r="AU163" s="803"/>
    </row>
    <row r="164" spans="1:47" ht="102">
      <c r="A164" s="804">
        <v>16</v>
      </c>
      <c r="B164" s="835" t="s">
        <v>1146</v>
      </c>
      <c r="C164" s="835"/>
      <c r="D164" s="835"/>
      <c r="E164" s="835"/>
      <c r="F164" s="835"/>
      <c r="G164" s="836" t="s">
        <v>17</v>
      </c>
      <c r="H164" s="358">
        <v>2019</v>
      </c>
      <c r="I164" s="358"/>
      <c r="J164" s="358">
        <v>2021</v>
      </c>
      <c r="K164" s="358"/>
      <c r="L164" s="358"/>
      <c r="M164" s="477" t="s">
        <v>1147</v>
      </c>
      <c r="N164" s="837">
        <v>4000</v>
      </c>
      <c r="O164" s="837"/>
      <c r="P164" s="848">
        <v>4000</v>
      </c>
      <c r="Q164" s="848"/>
      <c r="R164" s="848"/>
      <c r="S164" s="848"/>
      <c r="T164" s="848"/>
      <c r="U164" s="848"/>
      <c r="V164" s="848"/>
      <c r="W164" s="848"/>
      <c r="X164" s="848"/>
      <c r="Y164" s="848"/>
      <c r="Z164" s="776">
        <f t="shared" si="65"/>
        <v>0</v>
      </c>
      <c r="AA164" s="848"/>
      <c r="AB164" s="848"/>
      <c r="AC164" s="848"/>
      <c r="AD164" s="838">
        <v>2160</v>
      </c>
      <c r="AE164" s="807">
        <v>2160</v>
      </c>
      <c r="AF164" s="807"/>
      <c r="AG164" s="844"/>
      <c r="AH164" s="478" t="s">
        <v>1132</v>
      </c>
      <c r="AK164" s="747" t="s">
        <v>2047</v>
      </c>
      <c r="AL164" s="747"/>
      <c r="AM164" s="746" t="s">
        <v>2081</v>
      </c>
      <c r="AN164" s="1173" t="s">
        <v>2087</v>
      </c>
      <c r="AO164" s="837" t="s">
        <v>1148</v>
      </c>
      <c r="AP164" s="824" t="s">
        <v>1116</v>
      </c>
      <c r="AQ164" s="839" t="s">
        <v>1149</v>
      </c>
      <c r="AS164" s="802"/>
      <c r="AT164" s="802"/>
      <c r="AU164" s="803"/>
    </row>
    <row r="165" spans="1:47" ht="51">
      <c r="A165" s="804">
        <v>17</v>
      </c>
      <c r="B165" s="835" t="s">
        <v>1150</v>
      </c>
      <c r="C165" s="835"/>
      <c r="D165" s="835"/>
      <c r="E165" s="835"/>
      <c r="F165" s="835"/>
      <c r="G165" s="836" t="s">
        <v>17</v>
      </c>
      <c r="H165" s="358">
        <v>2019</v>
      </c>
      <c r="I165" s="358"/>
      <c r="J165" s="358">
        <v>2021</v>
      </c>
      <c r="K165" s="358"/>
      <c r="L165" s="358"/>
      <c r="M165" s="477" t="s">
        <v>1826</v>
      </c>
      <c r="N165" s="837">
        <v>3000</v>
      </c>
      <c r="O165" s="837"/>
      <c r="P165" s="843">
        <v>3000</v>
      </c>
      <c r="Q165" s="843"/>
      <c r="R165" s="843"/>
      <c r="S165" s="843"/>
      <c r="T165" s="843"/>
      <c r="U165" s="843"/>
      <c r="V165" s="843"/>
      <c r="W165" s="843"/>
      <c r="X165" s="843"/>
      <c r="Y165" s="843"/>
      <c r="Z165" s="776">
        <f t="shared" si="65"/>
        <v>0</v>
      </c>
      <c r="AA165" s="843"/>
      <c r="AB165" s="843"/>
      <c r="AC165" s="843"/>
      <c r="AD165" s="838">
        <v>1620</v>
      </c>
      <c r="AE165" s="807">
        <v>1620</v>
      </c>
      <c r="AF165" s="807"/>
      <c r="AG165" s="844"/>
      <c r="AH165" s="478" t="s">
        <v>1132</v>
      </c>
      <c r="AK165" s="747" t="s">
        <v>1951</v>
      </c>
      <c r="AL165" s="747"/>
      <c r="AM165" s="746"/>
      <c r="AN165" s="1173" t="s">
        <v>2087</v>
      </c>
      <c r="AO165" s="847" t="s">
        <v>922</v>
      </c>
      <c r="AP165" s="824" t="s">
        <v>1116</v>
      </c>
      <c r="AQ165" s="839" t="s">
        <v>1151</v>
      </c>
      <c r="AS165" s="802"/>
      <c r="AT165" s="802"/>
      <c r="AU165" s="803"/>
    </row>
    <row r="166" spans="1:47" ht="38.25">
      <c r="A166" s="804">
        <v>18</v>
      </c>
      <c r="B166" s="835" t="s">
        <v>1152</v>
      </c>
      <c r="C166" s="835"/>
      <c r="D166" s="835"/>
      <c r="E166" s="835"/>
      <c r="F166" s="835"/>
      <c r="G166" s="836" t="s">
        <v>46</v>
      </c>
      <c r="H166" s="358">
        <v>2019</v>
      </c>
      <c r="I166" s="358"/>
      <c r="J166" s="358">
        <v>2021</v>
      </c>
      <c r="K166" s="358"/>
      <c r="L166" s="358"/>
      <c r="M166" s="477" t="s">
        <v>2144</v>
      </c>
      <c r="N166" s="837">
        <v>3200</v>
      </c>
      <c r="O166" s="837"/>
      <c r="P166" s="843">
        <v>3200</v>
      </c>
      <c r="Q166" s="843"/>
      <c r="R166" s="843"/>
      <c r="S166" s="843"/>
      <c r="T166" s="843"/>
      <c r="U166" s="843"/>
      <c r="V166" s="843"/>
      <c r="W166" s="843"/>
      <c r="X166" s="843"/>
      <c r="Y166" s="843"/>
      <c r="Z166" s="776">
        <f t="shared" si="65"/>
        <v>0</v>
      </c>
      <c r="AA166" s="843"/>
      <c r="AB166" s="843"/>
      <c r="AC166" s="843"/>
      <c r="AD166" s="838">
        <v>1728</v>
      </c>
      <c r="AE166" s="807">
        <v>1728</v>
      </c>
      <c r="AF166" s="807"/>
      <c r="AG166" s="844"/>
      <c r="AH166" s="478" t="s">
        <v>1132</v>
      </c>
      <c r="AK166" s="747" t="s">
        <v>2038</v>
      </c>
      <c r="AL166" s="747"/>
      <c r="AM166" s="746"/>
      <c r="AN166" s="1173" t="s">
        <v>2087</v>
      </c>
      <c r="AO166" s="849" t="s">
        <v>910</v>
      </c>
      <c r="AP166" s="824" t="s">
        <v>1116</v>
      </c>
      <c r="AQ166" s="1122"/>
      <c r="AS166" s="802"/>
      <c r="AT166" s="802"/>
      <c r="AU166" s="803"/>
    </row>
    <row r="167" spans="1:47" ht="102">
      <c r="A167" s="804">
        <v>2</v>
      </c>
      <c r="B167" s="850" t="s">
        <v>1102</v>
      </c>
      <c r="C167" s="850"/>
      <c r="D167" s="850"/>
      <c r="E167" s="850"/>
      <c r="F167" s="850"/>
      <c r="G167" s="851" t="s">
        <v>49</v>
      </c>
      <c r="H167" s="852">
        <v>2019</v>
      </c>
      <c r="I167" s="852"/>
      <c r="J167" s="852">
        <v>2021</v>
      </c>
      <c r="K167" s="852"/>
      <c r="L167" s="852"/>
      <c r="M167" s="853" t="s">
        <v>1844</v>
      </c>
      <c r="N167" s="854">
        <v>4000</v>
      </c>
      <c r="O167" s="854"/>
      <c r="P167" s="855">
        <v>4000</v>
      </c>
      <c r="Q167" s="855"/>
      <c r="R167" s="855"/>
      <c r="S167" s="855"/>
      <c r="T167" s="855"/>
      <c r="U167" s="855"/>
      <c r="V167" s="855"/>
      <c r="W167" s="855"/>
      <c r="X167" s="855"/>
      <c r="Y167" s="855"/>
      <c r="Z167" s="776">
        <f>V167+Y167</f>
        <v>0</v>
      </c>
      <c r="AA167" s="855"/>
      <c r="AB167" s="855"/>
      <c r="AC167" s="855"/>
      <c r="AD167" s="807">
        <f>P167*0.6</f>
        <v>2400</v>
      </c>
      <c r="AE167" s="807">
        <f>AD167</f>
        <v>2400</v>
      </c>
      <c r="AF167" s="807"/>
      <c r="AG167" s="844"/>
      <c r="AH167" s="478" t="s">
        <v>1616</v>
      </c>
      <c r="AK167" s="747" t="s">
        <v>1947</v>
      </c>
      <c r="AL167" s="747"/>
      <c r="AM167" s="746" t="s">
        <v>2080</v>
      </c>
      <c r="AN167" s="1173" t="s">
        <v>2087</v>
      </c>
      <c r="AO167" s="824" t="s">
        <v>1043</v>
      </c>
      <c r="AP167" s="824" t="s">
        <v>1103</v>
      </c>
      <c r="AQ167" s="856" t="s">
        <v>1104</v>
      </c>
      <c r="AS167" s="802"/>
      <c r="AT167" s="802"/>
      <c r="AU167" s="803"/>
    </row>
    <row r="168" spans="1:47" s="865" customFormat="1" ht="25.5">
      <c r="A168" s="857"/>
      <c r="B168" s="858" t="s">
        <v>1832</v>
      </c>
      <c r="C168" s="858"/>
      <c r="D168" s="858"/>
      <c r="E168" s="858"/>
      <c r="F168" s="858"/>
      <c r="G168" s="859" t="s">
        <v>49</v>
      </c>
      <c r="H168" s="852">
        <v>2019</v>
      </c>
      <c r="I168" s="852"/>
      <c r="J168" s="852">
        <v>2021</v>
      </c>
      <c r="K168" s="860"/>
      <c r="L168" s="860"/>
      <c r="M168" s="861" t="s">
        <v>1845</v>
      </c>
      <c r="N168" s="862">
        <v>4000</v>
      </c>
      <c r="O168" s="862"/>
      <c r="P168" s="862">
        <v>4000</v>
      </c>
      <c r="Q168" s="862"/>
      <c r="R168" s="862"/>
      <c r="S168" s="862"/>
      <c r="T168" s="862"/>
      <c r="U168" s="862"/>
      <c r="V168" s="862"/>
      <c r="W168" s="862"/>
      <c r="X168" s="862"/>
      <c r="Y168" s="862"/>
      <c r="Z168" s="863"/>
      <c r="AA168" s="862"/>
      <c r="AB168" s="862"/>
      <c r="AC168" s="862"/>
      <c r="AD168" s="864">
        <f>P168*0.6</f>
        <v>2400</v>
      </c>
      <c r="AE168" s="864">
        <f>AD168</f>
        <v>2400</v>
      </c>
      <c r="AF168" s="864"/>
      <c r="AG168" s="857"/>
      <c r="AH168" s="860" t="s">
        <v>1616</v>
      </c>
      <c r="AJ168" s="865" t="s">
        <v>1833</v>
      </c>
      <c r="AK168" s="866" t="s">
        <v>2022</v>
      </c>
      <c r="AL168" s="866"/>
      <c r="AM168" s="867"/>
      <c r="AN168" s="1173" t="s">
        <v>2087</v>
      </c>
      <c r="AO168" s="868"/>
      <c r="AP168" s="868"/>
      <c r="AQ168" s="869"/>
      <c r="AS168" s="867"/>
      <c r="AT168" s="867"/>
      <c r="AU168" s="870"/>
    </row>
    <row r="169" spans="1:47" s="880" customFormat="1" ht="27">
      <c r="A169" s="514" t="s">
        <v>825</v>
      </c>
      <c r="B169" s="871" t="s">
        <v>1297</v>
      </c>
      <c r="C169" s="871"/>
      <c r="D169" s="871"/>
      <c r="E169" s="871"/>
      <c r="F169" s="871"/>
      <c r="G169" s="872"/>
      <c r="H169" s="873"/>
      <c r="I169" s="873"/>
      <c r="J169" s="873"/>
      <c r="K169" s="873"/>
      <c r="L169" s="873"/>
      <c r="M169" s="512"/>
      <c r="N169" s="874"/>
      <c r="O169" s="874"/>
      <c r="P169" s="875"/>
      <c r="Q169" s="875"/>
      <c r="R169" s="875"/>
      <c r="S169" s="875"/>
      <c r="T169" s="875"/>
      <c r="U169" s="875"/>
      <c r="V169" s="875"/>
      <c r="W169" s="875"/>
      <c r="X169" s="875"/>
      <c r="Y169" s="875"/>
      <c r="Z169" s="876"/>
      <c r="AA169" s="875"/>
      <c r="AB169" s="875"/>
      <c r="AC169" s="875"/>
      <c r="AD169" s="877"/>
      <c r="AE169" s="878"/>
      <c r="AF169" s="878"/>
      <c r="AG169" s="879"/>
      <c r="AH169" s="512"/>
      <c r="AK169" s="881"/>
      <c r="AL169" s="881"/>
      <c r="AM169" s="882"/>
      <c r="AN169" s="1173"/>
      <c r="AO169" s="883"/>
      <c r="AP169" s="884"/>
      <c r="AQ169" s="885"/>
      <c r="AS169" s="886"/>
      <c r="AT169" s="886"/>
      <c r="AU169" s="887"/>
    </row>
    <row r="170" spans="1:47" ht="63.75">
      <c r="A170" s="804">
        <v>3</v>
      </c>
      <c r="B170" s="850" t="s">
        <v>1155</v>
      </c>
      <c r="C170" s="850"/>
      <c r="D170" s="850"/>
      <c r="E170" s="850"/>
      <c r="F170" s="850"/>
      <c r="G170" s="851" t="s">
        <v>9</v>
      </c>
      <c r="H170" s="852">
        <v>2019</v>
      </c>
      <c r="I170" s="852"/>
      <c r="J170" s="852">
        <v>2021</v>
      </c>
      <c r="K170" s="852"/>
      <c r="L170" s="852"/>
      <c r="M170" s="842" t="s">
        <v>1156</v>
      </c>
      <c r="N170" s="888">
        <v>9500</v>
      </c>
      <c r="O170" s="888"/>
      <c r="P170" s="888">
        <v>9500</v>
      </c>
      <c r="Q170" s="888"/>
      <c r="R170" s="888"/>
      <c r="S170" s="888"/>
      <c r="T170" s="888"/>
      <c r="U170" s="888"/>
      <c r="V170" s="888"/>
      <c r="W170" s="888"/>
      <c r="X170" s="888"/>
      <c r="Y170" s="888"/>
      <c r="Z170" s="776">
        <f t="shared" si="65"/>
        <v>0</v>
      </c>
      <c r="AA170" s="888"/>
      <c r="AB170" s="888"/>
      <c r="AC170" s="888"/>
      <c r="AD170" s="889">
        <f>P170*0.6</f>
        <v>5700</v>
      </c>
      <c r="AE170" s="889">
        <f t="shared" ref="AE170:AE177" si="66">AD170</f>
        <v>5700</v>
      </c>
      <c r="AF170" s="807"/>
      <c r="AG170" s="844"/>
      <c r="AH170" s="800"/>
      <c r="AK170" s="747" t="s">
        <v>2048</v>
      </c>
      <c r="AL170" s="747"/>
      <c r="AM170" s="746"/>
      <c r="AN170" s="1173"/>
      <c r="AO170" s="847" t="s">
        <v>1157</v>
      </c>
      <c r="AP170" s="824" t="s">
        <v>1116</v>
      </c>
      <c r="AQ170" s="845" t="s">
        <v>1158</v>
      </c>
      <c r="AS170" s="802"/>
      <c r="AT170" s="802"/>
      <c r="AU170" s="803"/>
    </row>
    <row r="171" spans="1:47" s="880" customFormat="1" ht="13.5">
      <c r="A171" s="514" t="s">
        <v>897</v>
      </c>
      <c r="B171" s="890" t="s">
        <v>1344</v>
      </c>
      <c r="C171" s="890"/>
      <c r="D171" s="890"/>
      <c r="E171" s="890"/>
      <c r="F171" s="890"/>
      <c r="G171" s="891"/>
      <c r="H171" s="892"/>
      <c r="I171" s="892"/>
      <c r="J171" s="892"/>
      <c r="K171" s="892"/>
      <c r="L171" s="892"/>
      <c r="M171" s="893"/>
      <c r="N171" s="894"/>
      <c r="O171" s="894"/>
      <c r="P171" s="894"/>
      <c r="Q171" s="894"/>
      <c r="R171" s="894"/>
      <c r="S171" s="894"/>
      <c r="T171" s="894"/>
      <c r="U171" s="894"/>
      <c r="V171" s="894"/>
      <c r="W171" s="894"/>
      <c r="X171" s="894"/>
      <c r="Y171" s="894"/>
      <c r="Z171" s="876"/>
      <c r="AA171" s="894"/>
      <c r="AB171" s="894"/>
      <c r="AC171" s="894"/>
      <c r="AD171" s="878"/>
      <c r="AE171" s="878"/>
      <c r="AF171" s="878"/>
      <c r="AG171" s="879"/>
      <c r="AH171" s="895"/>
      <c r="AK171" s="881"/>
      <c r="AL171" s="881"/>
      <c r="AM171" s="882"/>
      <c r="AN171" s="1173"/>
      <c r="AO171" s="896"/>
      <c r="AP171" s="884"/>
      <c r="AQ171" s="897"/>
      <c r="AS171" s="886"/>
      <c r="AT171" s="886"/>
      <c r="AU171" s="887"/>
    </row>
    <row r="172" spans="1:47" ht="38.25">
      <c r="A172" s="804">
        <v>1</v>
      </c>
      <c r="B172" s="898" t="s">
        <v>1153</v>
      </c>
      <c r="C172" s="898"/>
      <c r="D172" s="898"/>
      <c r="E172" s="898"/>
      <c r="F172" s="898"/>
      <c r="G172" s="899" t="s">
        <v>9</v>
      </c>
      <c r="H172" s="852">
        <v>2019</v>
      </c>
      <c r="I172" s="852"/>
      <c r="J172" s="852">
        <v>2021</v>
      </c>
      <c r="K172" s="852"/>
      <c r="L172" s="852"/>
      <c r="M172" s="842" t="s">
        <v>1634</v>
      </c>
      <c r="N172" s="888">
        <v>3000</v>
      </c>
      <c r="O172" s="888"/>
      <c r="P172" s="843">
        <v>3000</v>
      </c>
      <c r="Q172" s="843"/>
      <c r="R172" s="843"/>
      <c r="S172" s="843"/>
      <c r="T172" s="843"/>
      <c r="U172" s="843"/>
      <c r="V172" s="843"/>
      <c r="W172" s="843"/>
      <c r="X172" s="843"/>
      <c r="Y172" s="843"/>
      <c r="Z172" s="776">
        <f>V172+Y172</f>
        <v>0</v>
      </c>
      <c r="AA172" s="843"/>
      <c r="AB172" s="843"/>
      <c r="AC172" s="843"/>
      <c r="AD172" s="807">
        <f>P172*0.6</f>
        <v>1800</v>
      </c>
      <c r="AE172" s="807">
        <f>AD172</f>
        <v>1800</v>
      </c>
      <c r="AF172" s="807"/>
      <c r="AG172" s="844"/>
      <c r="AH172" s="478" t="s">
        <v>1617</v>
      </c>
      <c r="AK172" s="747" t="s">
        <v>2049</v>
      </c>
      <c r="AL172" s="747"/>
      <c r="AM172" s="746"/>
      <c r="AN172" s="1173" t="s">
        <v>2087</v>
      </c>
      <c r="AO172" s="847" t="s">
        <v>1154</v>
      </c>
      <c r="AP172" s="824" t="s">
        <v>1116</v>
      </c>
      <c r="AQ172" s="900"/>
      <c r="AS172" s="802"/>
      <c r="AT172" s="802"/>
      <c r="AU172" s="803"/>
    </row>
    <row r="173" spans="1:47" ht="51">
      <c r="A173" s="804">
        <v>6</v>
      </c>
      <c r="B173" s="901" t="s">
        <v>1122</v>
      </c>
      <c r="C173" s="901"/>
      <c r="D173" s="901"/>
      <c r="E173" s="901"/>
      <c r="F173" s="901"/>
      <c r="G173" s="902" t="s">
        <v>9</v>
      </c>
      <c r="H173" s="358">
        <v>2019</v>
      </c>
      <c r="I173" s="358"/>
      <c r="J173" s="358">
        <v>2021</v>
      </c>
      <c r="K173" s="358"/>
      <c r="L173" s="358"/>
      <c r="M173" s="842" t="s">
        <v>2145</v>
      </c>
      <c r="N173" s="838">
        <v>4000</v>
      </c>
      <c r="O173" s="838"/>
      <c r="P173" s="838">
        <f>N173*0.6</f>
        <v>2400</v>
      </c>
      <c r="Q173" s="838"/>
      <c r="R173" s="838"/>
      <c r="S173" s="838"/>
      <c r="T173" s="838"/>
      <c r="U173" s="838"/>
      <c r="V173" s="838"/>
      <c r="W173" s="838"/>
      <c r="X173" s="838"/>
      <c r="Y173" s="838"/>
      <c r="Z173" s="776">
        <f>V173+Y173</f>
        <v>0</v>
      </c>
      <c r="AA173" s="838"/>
      <c r="AB173" s="838"/>
      <c r="AC173" s="838"/>
      <c r="AD173" s="889">
        <f t="shared" ref="AD173:AD177" si="67">P173*0.6</f>
        <v>1440</v>
      </c>
      <c r="AE173" s="807">
        <f t="shared" si="66"/>
        <v>1440</v>
      </c>
      <c r="AF173" s="807"/>
      <c r="AG173" s="844"/>
      <c r="AH173" s="478" t="s">
        <v>1615</v>
      </c>
      <c r="AK173" s="747" t="s">
        <v>2050</v>
      </c>
      <c r="AL173" s="747"/>
      <c r="AM173" s="746"/>
      <c r="AN173" s="1173" t="s">
        <v>2087</v>
      </c>
      <c r="AO173" s="824" t="s">
        <v>1123</v>
      </c>
      <c r="AP173" s="824" t="s">
        <v>1116</v>
      </c>
      <c r="AQ173" s="845" t="s">
        <v>1124</v>
      </c>
      <c r="AS173" s="802"/>
      <c r="AT173" s="802"/>
      <c r="AU173" s="803"/>
    </row>
    <row r="174" spans="1:47" ht="51.75" customHeight="1">
      <c r="A174" s="804">
        <v>7</v>
      </c>
      <c r="B174" s="903" t="s">
        <v>1166</v>
      </c>
      <c r="C174" s="903"/>
      <c r="D174" s="903"/>
      <c r="E174" s="903"/>
      <c r="F174" s="903"/>
      <c r="G174" s="478" t="s">
        <v>9</v>
      </c>
      <c r="H174" s="804">
        <v>2019</v>
      </c>
      <c r="I174" s="804"/>
      <c r="J174" s="804">
        <v>2021</v>
      </c>
      <c r="K174" s="804"/>
      <c r="L174" s="804"/>
      <c r="M174" s="842" t="s">
        <v>2121</v>
      </c>
      <c r="N174" s="904">
        <v>4000</v>
      </c>
      <c r="O174" s="904"/>
      <c r="P174" s="904">
        <v>4000</v>
      </c>
      <c r="Q174" s="904"/>
      <c r="R174" s="904"/>
      <c r="S174" s="904"/>
      <c r="T174" s="904"/>
      <c r="U174" s="904"/>
      <c r="V174" s="904"/>
      <c r="W174" s="904"/>
      <c r="X174" s="904"/>
      <c r="Y174" s="904"/>
      <c r="Z174" s="776">
        <f>V174+Y174</f>
        <v>0</v>
      </c>
      <c r="AA174" s="904"/>
      <c r="AB174" s="904"/>
      <c r="AC174" s="904"/>
      <c r="AD174" s="889">
        <f t="shared" si="67"/>
        <v>2400</v>
      </c>
      <c r="AE174" s="807">
        <f t="shared" si="66"/>
        <v>2400</v>
      </c>
      <c r="AF174" s="904"/>
      <c r="AG174" s="905"/>
      <c r="AH174" s="906" t="s">
        <v>1612</v>
      </c>
      <c r="AK174" s="747" t="s">
        <v>1978</v>
      </c>
      <c r="AL174" s="747"/>
      <c r="AM174" s="746"/>
      <c r="AN174" s="1173"/>
      <c r="AO174" s="478" t="s">
        <v>1167</v>
      </c>
      <c r="AP174" s="802" t="s">
        <v>794</v>
      </c>
      <c r="AQ174" s="479" t="s">
        <v>1168</v>
      </c>
      <c r="AS174" s="802"/>
      <c r="AT174" s="802"/>
      <c r="AU174" s="803"/>
    </row>
    <row r="175" spans="1:47" ht="63.75">
      <c r="A175" s="804">
        <v>1</v>
      </c>
      <c r="B175" s="805" t="s">
        <v>1097</v>
      </c>
      <c r="C175" s="805"/>
      <c r="D175" s="805"/>
      <c r="E175" s="805"/>
      <c r="F175" s="805"/>
      <c r="G175" s="907" t="s">
        <v>10</v>
      </c>
      <c r="H175" s="908">
        <v>2018</v>
      </c>
      <c r="I175" s="852"/>
      <c r="J175" s="852">
        <v>2020</v>
      </c>
      <c r="K175" s="852"/>
      <c r="L175" s="852"/>
      <c r="M175" s="477" t="s">
        <v>1098</v>
      </c>
      <c r="N175" s="854">
        <v>4500</v>
      </c>
      <c r="O175" s="854"/>
      <c r="P175" s="854">
        <v>2700</v>
      </c>
      <c r="Q175" s="854"/>
      <c r="R175" s="854"/>
      <c r="S175" s="854"/>
      <c r="T175" s="854"/>
      <c r="U175" s="854"/>
      <c r="V175" s="854"/>
      <c r="W175" s="854"/>
      <c r="X175" s="854"/>
      <c r="Y175" s="854"/>
      <c r="Z175" s="776">
        <f>V175+Y175</f>
        <v>0</v>
      </c>
      <c r="AA175" s="854"/>
      <c r="AB175" s="854"/>
      <c r="AC175" s="854"/>
      <c r="AD175" s="807">
        <f>P175*1</f>
        <v>2700</v>
      </c>
      <c r="AE175" s="807">
        <f t="shared" si="66"/>
        <v>2700</v>
      </c>
      <c r="AF175" s="807"/>
      <c r="AG175" s="804"/>
      <c r="AH175" s="478" t="s">
        <v>1585</v>
      </c>
      <c r="AK175" s="747" t="s">
        <v>1971</v>
      </c>
      <c r="AL175" s="747"/>
      <c r="AM175" s="746"/>
      <c r="AN175" s="1173" t="s">
        <v>2087</v>
      </c>
      <c r="AO175" s="824" t="s">
        <v>1099</v>
      </c>
      <c r="AP175" s="824" t="s">
        <v>1100</v>
      </c>
      <c r="AQ175" s="839" t="s">
        <v>1101</v>
      </c>
      <c r="AS175" s="802"/>
      <c r="AT175" s="802"/>
      <c r="AU175" s="803"/>
    </row>
    <row r="176" spans="1:47" ht="38.25">
      <c r="A176" s="804">
        <v>2</v>
      </c>
      <c r="B176" s="909" t="s">
        <v>1163</v>
      </c>
      <c r="C176" s="909"/>
      <c r="D176" s="909"/>
      <c r="E176" s="909"/>
      <c r="F176" s="909"/>
      <c r="G176" s="910" t="s">
        <v>9</v>
      </c>
      <c r="H176" s="478">
        <v>2019</v>
      </c>
      <c r="I176" s="478"/>
      <c r="J176" s="478">
        <v>2021</v>
      </c>
      <c r="K176" s="478"/>
      <c r="L176" s="478"/>
      <c r="M176" s="911" t="s">
        <v>1846</v>
      </c>
      <c r="N176" s="912">
        <v>6000</v>
      </c>
      <c r="O176" s="912"/>
      <c r="P176" s="912">
        <v>6000</v>
      </c>
      <c r="Q176" s="912"/>
      <c r="R176" s="912"/>
      <c r="S176" s="912"/>
      <c r="T176" s="912"/>
      <c r="U176" s="912"/>
      <c r="V176" s="912"/>
      <c r="W176" s="912"/>
      <c r="X176" s="912"/>
      <c r="Y176" s="912"/>
      <c r="Z176" s="776">
        <f t="shared" si="65"/>
        <v>0</v>
      </c>
      <c r="AA176" s="912"/>
      <c r="AB176" s="912"/>
      <c r="AC176" s="912"/>
      <c r="AD176" s="807">
        <f t="shared" si="67"/>
        <v>3600</v>
      </c>
      <c r="AE176" s="807">
        <f t="shared" si="66"/>
        <v>3600</v>
      </c>
      <c r="AF176" s="807"/>
      <c r="AG176" s="844"/>
      <c r="AH176" s="800"/>
      <c r="AK176" s="747" t="s">
        <v>2021</v>
      </c>
      <c r="AL176" s="747"/>
      <c r="AM176" s="746"/>
      <c r="AN176" s="1173"/>
      <c r="AO176" s="847" t="s">
        <v>1164</v>
      </c>
      <c r="AP176" s="824" t="s">
        <v>1165</v>
      </c>
      <c r="AQ176" s="913"/>
      <c r="AS176" s="802"/>
      <c r="AT176" s="802"/>
      <c r="AU176" s="803"/>
    </row>
    <row r="177" spans="1:47" ht="39" customHeight="1">
      <c r="A177" s="804">
        <v>3</v>
      </c>
      <c r="B177" s="909" t="s">
        <v>1169</v>
      </c>
      <c r="C177" s="909"/>
      <c r="D177" s="909"/>
      <c r="E177" s="909"/>
      <c r="F177" s="909"/>
      <c r="G177" s="910" t="s">
        <v>46</v>
      </c>
      <c r="H177" s="846">
        <v>2019</v>
      </c>
      <c r="I177" s="846"/>
      <c r="J177" s="846">
        <v>2021</v>
      </c>
      <c r="K177" s="846"/>
      <c r="L177" s="846"/>
      <c r="M177" s="480" t="s">
        <v>1170</v>
      </c>
      <c r="N177" s="912">
        <v>5500</v>
      </c>
      <c r="O177" s="912"/>
      <c r="P177" s="912">
        <v>5500</v>
      </c>
      <c r="Q177" s="912"/>
      <c r="R177" s="912"/>
      <c r="S177" s="912"/>
      <c r="T177" s="912"/>
      <c r="U177" s="912"/>
      <c r="V177" s="912"/>
      <c r="W177" s="912"/>
      <c r="X177" s="912"/>
      <c r="Y177" s="912"/>
      <c r="Z177" s="776">
        <f t="shared" si="65"/>
        <v>0</v>
      </c>
      <c r="AA177" s="912"/>
      <c r="AB177" s="912"/>
      <c r="AC177" s="912"/>
      <c r="AD177" s="807">
        <f t="shared" si="67"/>
        <v>3300</v>
      </c>
      <c r="AE177" s="807">
        <f t="shared" si="66"/>
        <v>3300</v>
      </c>
      <c r="AF177" s="807"/>
      <c r="AG177" s="844"/>
      <c r="AH177" s="906"/>
      <c r="AK177" s="747" t="s">
        <v>2027</v>
      </c>
      <c r="AL177" s="747"/>
      <c r="AM177" s="746" t="s">
        <v>2080</v>
      </c>
      <c r="AN177" s="1173" t="s">
        <v>2087</v>
      </c>
      <c r="AO177" s="914" t="s">
        <v>856</v>
      </c>
      <c r="AP177" s="824"/>
      <c r="AQ177" s="915" t="s">
        <v>1171</v>
      </c>
      <c r="AS177" s="802"/>
      <c r="AT177" s="802"/>
      <c r="AU177" s="803"/>
    </row>
    <row r="178" spans="1:47" ht="51.75" customHeight="1">
      <c r="A178" s="804">
        <v>4</v>
      </c>
      <c r="B178" s="903" t="s">
        <v>1172</v>
      </c>
      <c r="C178" s="903"/>
      <c r="D178" s="903"/>
      <c r="E178" s="903"/>
      <c r="F178" s="903"/>
      <c r="G178" s="478" t="s">
        <v>46</v>
      </c>
      <c r="H178" s="804">
        <v>2019</v>
      </c>
      <c r="I178" s="804"/>
      <c r="J178" s="804">
        <v>2021</v>
      </c>
      <c r="K178" s="804"/>
      <c r="L178" s="804"/>
      <c r="M178" s="478" t="s">
        <v>1173</v>
      </c>
      <c r="N178" s="904">
        <v>4000</v>
      </c>
      <c r="O178" s="904"/>
      <c r="P178" s="904">
        <v>4000</v>
      </c>
      <c r="Q178" s="904"/>
      <c r="R178" s="904"/>
      <c r="S178" s="904"/>
      <c r="T178" s="904"/>
      <c r="U178" s="904"/>
      <c r="V178" s="904"/>
      <c r="W178" s="904"/>
      <c r="X178" s="904"/>
      <c r="Y178" s="904"/>
      <c r="Z178" s="776">
        <f t="shared" si="65"/>
        <v>0</v>
      </c>
      <c r="AA178" s="904"/>
      <c r="AB178" s="904"/>
      <c r="AC178" s="904"/>
      <c r="AD178" s="904"/>
      <c r="AE178" s="904"/>
      <c r="AF178" s="904"/>
      <c r="AG178" s="905"/>
      <c r="AH178" s="906" t="s">
        <v>1174</v>
      </c>
      <c r="AK178" s="747" t="s">
        <v>2040</v>
      </c>
      <c r="AL178" s="747"/>
      <c r="AM178" s="746"/>
      <c r="AN178" s="1173"/>
      <c r="AO178" s="478" t="s">
        <v>1175</v>
      </c>
      <c r="AP178" s="802" t="s">
        <v>794</v>
      </c>
      <c r="AQ178" s="479" t="s">
        <v>1176</v>
      </c>
      <c r="AR178" s="1549"/>
      <c r="AS178" s="802"/>
      <c r="AT178" s="802"/>
      <c r="AU178" s="803"/>
    </row>
    <row r="179" spans="1:47" ht="51">
      <c r="A179" s="804">
        <v>5</v>
      </c>
      <c r="B179" s="850" t="s">
        <v>1159</v>
      </c>
      <c r="C179" s="850"/>
      <c r="D179" s="850"/>
      <c r="E179" s="850"/>
      <c r="F179" s="850"/>
      <c r="G179" s="851" t="s">
        <v>9</v>
      </c>
      <c r="H179" s="852">
        <v>2019</v>
      </c>
      <c r="I179" s="852"/>
      <c r="J179" s="852">
        <v>2021</v>
      </c>
      <c r="K179" s="852"/>
      <c r="L179" s="852"/>
      <c r="M179" s="842" t="s">
        <v>1160</v>
      </c>
      <c r="N179" s="888">
        <v>5000</v>
      </c>
      <c r="O179" s="888"/>
      <c r="P179" s="888">
        <v>5000</v>
      </c>
      <c r="Q179" s="888"/>
      <c r="R179" s="888"/>
      <c r="S179" s="888"/>
      <c r="T179" s="888"/>
      <c r="U179" s="888"/>
      <c r="V179" s="888"/>
      <c r="W179" s="888"/>
      <c r="X179" s="888"/>
      <c r="Y179" s="888"/>
      <c r="Z179" s="776">
        <f>V179+Y179</f>
        <v>0</v>
      </c>
      <c r="AA179" s="888"/>
      <c r="AB179" s="888"/>
      <c r="AC179" s="888"/>
      <c r="AD179" s="807"/>
      <c r="AE179" s="807"/>
      <c r="AF179" s="807"/>
      <c r="AG179" s="844"/>
      <c r="AH179" s="906" t="s">
        <v>1605</v>
      </c>
      <c r="AK179" s="747" t="s">
        <v>2021</v>
      </c>
      <c r="AL179" s="747"/>
      <c r="AM179" s="746"/>
      <c r="AN179" s="1173"/>
      <c r="AO179" s="847" t="s">
        <v>1161</v>
      </c>
      <c r="AP179" s="824" t="s">
        <v>1116</v>
      </c>
      <c r="AQ179" s="845" t="s">
        <v>1162</v>
      </c>
      <c r="AS179" s="802"/>
      <c r="AT179" s="802"/>
      <c r="AU179" s="803"/>
    </row>
    <row r="180" spans="1:47" ht="57" customHeight="1">
      <c r="A180" s="481" t="s">
        <v>564</v>
      </c>
      <c r="B180" s="916" t="s">
        <v>1245</v>
      </c>
      <c r="C180" s="916"/>
      <c r="D180" s="916"/>
      <c r="E180" s="916"/>
      <c r="F180" s="916"/>
      <c r="G180" s="715"/>
      <c r="H180" s="481"/>
      <c r="I180" s="481"/>
      <c r="J180" s="481"/>
      <c r="K180" s="481"/>
      <c r="L180" s="481"/>
      <c r="M180" s="481"/>
      <c r="N180" s="917">
        <f t="shared" ref="N180:AC180" si="68">SUBTOTAL(109,N184:N214)</f>
        <v>146000</v>
      </c>
      <c r="O180" s="917">
        <f t="shared" si="68"/>
        <v>0</v>
      </c>
      <c r="P180" s="917">
        <f t="shared" si="68"/>
        <v>84980</v>
      </c>
      <c r="Q180" s="917">
        <f t="shared" si="68"/>
        <v>0</v>
      </c>
      <c r="R180" s="917">
        <f t="shared" si="68"/>
        <v>0</v>
      </c>
      <c r="S180" s="917">
        <f t="shared" si="68"/>
        <v>0</v>
      </c>
      <c r="T180" s="917">
        <f t="shared" si="68"/>
        <v>0</v>
      </c>
      <c r="U180" s="917">
        <f t="shared" si="68"/>
        <v>0</v>
      </c>
      <c r="V180" s="917">
        <f t="shared" si="68"/>
        <v>0</v>
      </c>
      <c r="W180" s="917">
        <f t="shared" si="68"/>
        <v>0</v>
      </c>
      <c r="X180" s="917">
        <f t="shared" si="68"/>
        <v>0</v>
      </c>
      <c r="Y180" s="917">
        <f t="shared" si="68"/>
        <v>0</v>
      </c>
      <c r="Z180" s="917">
        <f t="shared" si="68"/>
        <v>0</v>
      </c>
      <c r="AA180" s="917">
        <f t="shared" si="68"/>
        <v>0</v>
      </c>
      <c r="AB180" s="917">
        <f t="shared" si="68"/>
        <v>0</v>
      </c>
      <c r="AC180" s="917">
        <f t="shared" si="68"/>
        <v>0</v>
      </c>
      <c r="AD180" s="917">
        <f>SUBTOTAL(109,AD181:AD214)</f>
        <v>1980</v>
      </c>
      <c r="AE180" s="917">
        <f>SUBTOTAL(109,AE181:AE214)</f>
        <v>1980</v>
      </c>
      <c r="AF180" s="917">
        <f>SUBTOTAL(109,AF184:AF214)</f>
        <v>0</v>
      </c>
      <c r="AG180" s="481"/>
      <c r="AH180" s="481"/>
      <c r="AK180" s="747"/>
      <c r="AL180" s="747"/>
      <c r="AM180" s="746"/>
      <c r="AN180" s="1173"/>
      <c r="AO180" s="481"/>
      <c r="AP180" s="802"/>
      <c r="AQ180" s="918"/>
      <c r="AS180" s="802"/>
      <c r="AT180" s="802"/>
      <c r="AU180" s="803"/>
    </row>
    <row r="181" spans="1:47" s="922" customFormat="1" ht="41.25" customHeight="1">
      <c r="A181" s="514" t="s">
        <v>821</v>
      </c>
      <c r="B181" s="919" t="s">
        <v>1297</v>
      </c>
      <c r="C181" s="919"/>
      <c r="D181" s="919"/>
      <c r="E181" s="919"/>
      <c r="F181" s="919"/>
      <c r="G181" s="920"/>
      <c r="H181" s="514"/>
      <c r="I181" s="514"/>
      <c r="J181" s="514"/>
      <c r="K181" s="514"/>
      <c r="L181" s="514"/>
      <c r="M181" s="514"/>
      <c r="N181" s="921"/>
      <c r="O181" s="921"/>
      <c r="P181" s="921"/>
      <c r="Q181" s="921"/>
      <c r="R181" s="921"/>
      <c r="S181" s="921"/>
      <c r="T181" s="921"/>
      <c r="U181" s="921"/>
      <c r="V181" s="921"/>
      <c r="W181" s="921"/>
      <c r="X181" s="921"/>
      <c r="Y181" s="921"/>
      <c r="Z181" s="921"/>
      <c r="AA181" s="921"/>
      <c r="AB181" s="921"/>
      <c r="AC181" s="921"/>
      <c r="AD181" s="921"/>
      <c r="AE181" s="921"/>
      <c r="AF181" s="921"/>
      <c r="AG181" s="514"/>
      <c r="AH181" s="514"/>
      <c r="AK181" s="923"/>
      <c r="AL181" s="923"/>
      <c r="AM181" s="924"/>
      <c r="AN181" s="1173"/>
      <c r="AO181" s="514"/>
      <c r="AP181" s="925"/>
      <c r="AQ181" s="926"/>
      <c r="AS181" s="925"/>
      <c r="AT181" s="925"/>
      <c r="AU181" s="927"/>
    </row>
    <row r="182" spans="1:47" ht="36.75" customHeight="1">
      <c r="A182" s="804">
        <v>1</v>
      </c>
      <c r="B182" s="903" t="s">
        <v>1221</v>
      </c>
      <c r="C182" s="903"/>
      <c r="D182" s="903"/>
      <c r="E182" s="903"/>
      <c r="F182" s="903"/>
      <c r="G182" s="478" t="s">
        <v>46</v>
      </c>
      <c r="H182" s="804">
        <v>2019</v>
      </c>
      <c r="I182" s="804"/>
      <c r="J182" s="804">
        <v>2021</v>
      </c>
      <c r="K182" s="804"/>
      <c r="L182" s="804"/>
      <c r="M182" s="928" t="s">
        <v>1869</v>
      </c>
      <c r="N182" s="904">
        <v>3000</v>
      </c>
      <c r="O182" s="904"/>
      <c r="P182" s="904">
        <v>1800</v>
      </c>
      <c r="Q182" s="904"/>
      <c r="R182" s="904"/>
      <c r="S182" s="904"/>
      <c r="T182" s="904"/>
      <c r="U182" s="904"/>
      <c r="V182" s="904"/>
      <c r="W182" s="904"/>
      <c r="X182" s="904"/>
      <c r="Y182" s="904"/>
      <c r="Z182" s="776">
        <f>V182+Y182</f>
        <v>0</v>
      </c>
      <c r="AA182" s="904"/>
      <c r="AB182" s="904"/>
      <c r="AC182" s="904"/>
      <c r="AD182" s="807">
        <v>0</v>
      </c>
      <c r="AE182" s="807">
        <f t="shared" ref="AE182:AE214" si="69">AD182</f>
        <v>0</v>
      </c>
      <c r="AF182" s="904"/>
      <c r="AG182" s="905"/>
      <c r="AH182" s="905"/>
      <c r="AK182" s="747" t="s">
        <v>1982</v>
      </c>
      <c r="AL182" s="747"/>
      <c r="AM182" s="746"/>
      <c r="AN182" s="1173" t="s">
        <v>2087</v>
      </c>
      <c r="AO182" s="478" t="s">
        <v>1222</v>
      </c>
      <c r="AP182" s="802" t="s">
        <v>1193</v>
      </c>
      <c r="AQ182" s="479" t="s">
        <v>1223</v>
      </c>
      <c r="AS182" s="802"/>
      <c r="AT182" s="802"/>
      <c r="AU182" s="803"/>
    </row>
    <row r="183" spans="1:47" s="880" customFormat="1" ht="21.75" customHeight="1">
      <c r="A183" s="514" t="s">
        <v>825</v>
      </c>
      <c r="B183" s="929" t="s">
        <v>1344</v>
      </c>
      <c r="C183" s="929"/>
      <c r="D183" s="929"/>
      <c r="E183" s="929"/>
      <c r="F183" s="929"/>
      <c r="G183" s="512"/>
      <c r="H183" s="514"/>
      <c r="I183" s="514"/>
      <c r="J183" s="514"/>
      <c r="K183" s="514"/>
      <c r="L183" s="514"/>
      <c r="M183" s="512"/>
      <c r="N183" s="930"/>
      <c r="O183" s="930"/>
      <c r="P183" s="930"/>
      <c r="Q183" s="930"/>
      <c r="R183" s="930"/>
      <c r="S183" s="930"/>
      <c r="T183" s="930"/>
      <c r="U183" s="930"/>
      <c r="V183" s="930"/>
      <c r="W183" s="930"/>
      <c r="X183" s="930"/>
      <c r="Y183" s="930"/>
      <c r="Z183" s="876"/>
      <c r="AA183" s="930"/>
      <c r="AB183" s="930"/>
      <c r="AC183" s="930"/>
      <c r="AD183" s="930"/>
      <c r="AE183" s="930"/>
      <c r="AF183" s="930"/>
      <c r="AG183" s="895"/>
      <c r="AH183" s="895"/>
      <c r="AK183" s="881"/>
      <c r="AL183" s="881"/>
      <c r="AM183" s="882"/>
      <c r="AN183" s="1173"/>
      <c r="AO183" s="512"/>
      <c r="AP183" s="886"/>
      <c r="AQ183" s="513"/>
      <c r="AS183" s="886"/>
      <c r="AT183" s="886"/>
      <c r="AU183" s="887"/>
    </row>
    <row r="184" spans="1:47" ht="51">
      <c r="A184" s="844">
        <v>1</v>
      </c>
      <c r="B184" s="909" t="s">
        <v>1177</v>
      </c>
      <c r="C184" s="909"/>
      <c r="D184" s="909"/>
      <c r="E184" s="909"/>
      <c r="F184" s="909"/>
      <c r="G184" s="910" t="s">
        <v>44</v>
      </c>
      <c r="H184" s="846">
        <v>2019</v>
      </c>
      <c r="I184" s="846"/>
      <c r="J184" s="846">
        <v>2021</v>
      </c>
      <c r="K184" s="846"/>
      <c r="L184" s="846"/>
      <c r="M184" s="911" t="s">
        <v>1847</v>
      </c>
      <c r="N184" s="912">
        <v>6000</v>
      </c>
      <c r="O184" s="912"/>
      <c r="P184" s="912">
        <f>N184*0.6</f>
        <v>3600</v>
      </c>
      <c r="Q184" s="912"/>
      <c r="R184" s="912"/>
      <c r="S184" s="912"/>
      <c r="T184" s="912"/>
      <c r="U184" s="912"/>
      <c r="V184" s="912"/>
      <c r="W184" s="912"/>
      <c r="X184" s="912"/>
      <c r="Y184" s="912"/>
      <c r="Z184" s="776">
        <f t="shared" si="65"/>
        <v>0</v>
      </c>
      <c r="AA184" s="912"/>
      <c r="AB184" s="912"/>
      <c r="AC184" s="912"/>
      <c r="AD184" s="807"/>
      <c r="AE184" s="807">
        <f t="shared" si="69"/>
        <v>0</v>
      </c>
      <c r="AF184" s="931"/>
      <c r="AG184" s="844"/>
      <c r="AH184" s="932"/>
      <c r="AK184" s="747" t="s">
        <v>1997</v>
      </c>
      <c r="AL184" s="747"/>
      <c r="AM184" s="746" t="s">
        <v>2081</v>
      </c>
      <c r="AN184" s="1173" t="s">
        <v>2087</v>
      </c>
      <c r="AO184" s="914" t="s">
        <v>1178</v>
      </c>
      <c r="AP184" s="802" t="s">
        <v>794</v>
      </c>
      <c r="AQ184" s="915" t="s">
        <v>1179</v>
      </c>
      <c r="AS184" s="802"/>
      <c r="AT184" s="802"/>
      <c r="AU184" s="803"/>
    </row>
    <row r="185" spans="1:47" ht="25.5">
      <c r="A185" s="804">
        <v>2</v>
      </c>
      <c r="B185" s="933" t="s">
        <v>1180</v>
      </c>
      <c r="C185" s="933"/>
      <c r="D185" s="933"/>
      <c r="E185" s="933"/>
      <c r="F185" s="933"/>
      <c r="G185" s="242" t="s">
        <v>10</v>
      </c>
      <c r="H185" s="478">
        <v>2019</v>
      </c>
      <c r="I185" s="478"/>
      <c r="J185" s="478">
        <v>2021</v>
      </c>
      <c r="K185" s="478"/>
      <c r="L185" s="478"/>
      <c r="M185" s="934" t="s">
        <v>1848</v>
      </c>
      <c r="N185" s="935">
        <v>4200</v>
      </c>
      <c r="O185" s="935"/>
      <c r="P185" s="936">
        <f t="shared" ref="P185" si="70">N185*0.6</f>
        <v>2520</v>
      </c>
      <c r="Q185" s="936"/>
      <c r="R185" s="936"/>
      <c r="S185" s="936"/>
      <c r="T185" s="936"/>
      <c r="U185" s="936"/>
      <c r="V185" s="936"/>
      <c r="W185" s="936"/>
      <c r="X185" s="936"/>
      <c r="Y185" s="936"/>
      <c r="Z185" s="776">
        <f t="shared" si="65"/>
        <v>0</v>
      </c>
      <c r="AA185" s="936"/>
      <c r="AB185" s="936"/>
      <c r="AC185" s="936"/>
      <c r="AD185" s="807"/>
      <c r="AE185" s="807">
        <f t="shared" si="69"/>
        <v>0</v>
      </c>
      <c r="AF185" s="807"/>
      <c r="AG185" s="937"/>
      <c r="AH185" s="938" t="s">
        <v>1181</v>
      </c>
      <c r="AK185" s="747" t="s">
        <v>1980</v>
      </c>
      <c r="AL185" s="747"/>
      <c r="AM185" s="746"/>
      <c r="AN185" s="1173" t="s">
        <v>2087</v>
      </c>
      <c r="AO185" s="847" t="s">
        <v>1182</v>
      </c>
      <c r="AP185" s="802" t="s">
        <v>1183</v>
      </c>
      <c r="AQ185" s="810"/>
      <c r="AR185" s="1549"/>
      <c r="AS185" s="802"/>
      <c r="AT185" s="802"/>
      <c r="AU185" s="803"/>
    </row>
    <row r="186" spans="1:47" ht="51">
      <c r="A186" s="844">
        <v>3</v>
      </c>
      <c r="B186" s="909" t="s">
        <v>1184</v>
      </c>
      <c r="C186" s="909"/>
      <c r="D186" s="909"/>
      <c r="E186" s="909"/>
      <c r="F186" s="909"/>
      <c r="G186" s="910" t="s">
        <v>44</v>
      </c>
      <c r="H186" s="846">
        <v>2019</v>
      </c>
      <c r="I186" s="846"/>
      <c r="J186" s="846">
        <v>2021</v>
      </c>
      <c r="K186" s="846"/>
      <c r="L186" s="846"/>
      <c r="M186" s="480"/>
      <c r="N186" s="912">
        <v>3000</v>
      </c>
      <c r="O186" s="912"/>
      <c r="P186" s="912">
        <v>1800</v>
      </c>
      <c r="Q186" s="912"/>
      <c r="R186" s="912"/>
      <c r="S186" s="912"/>
      <c r="T186" s="912"/>
      <c r="U186" s="912"/>
      <c r="V186" s="912"/>
      <c r="W186" s="912"/>
      <c r="X186" s="912"/>
      <c r="Y186" s="912"/>
      <c r="Z186" s="776">
        <f t="shared" si="65"/>
        <v>0</v>
      </c>
      <c r="AA186" s="912"/>
      <c r="AB186" s="912"/>
      <c r="AC186" s="912"/>
      <c r="AD186" s="807"/>
      <c r="AE186" s="807">
        <f t="shared" si="69"/>
        <v>0</v>
      </c>
      <c r="AF186" s="931"/>
      <c r="AG186" s="844"/>
      <c r="AH186" s="932"/>
      <c r="AK186" s="747" t="s">
        <v>1998</v>
      </c>
      <c r="AL186" s="747"/>
      <c r="AM186" s="746"/>
      <c r="AN186" s="1173" t="s">
        <v>2087</v>
      </c>
      <c r="AO186" s="914" t="s">
        <v>906</v>
      </c>
      <c r="AP186" s="802" t="s">
        <v>1185</v>
      </c>
      <c r="AQ186" s="915" t="s">
        <v>1186</v>
      </c>
      <c r="AS186" s="802"/>
      <c r="AT186" s="802"/>
      <c r="AU186" s="803"/>
    </row>
    <row r="187" spans="1:47" ht="51">
      <c r="A187" s="804">
        <v>4</v>
      </c>
      <c r="B187" s="909" t="s">
        <v>1187</v>
      </c>
      <c r="C187" s="909"/>
      <c r="D187" s="909"/>
      <c r="E187" s="909"/>
      <c r="F187" s="909"/>
      <c r="G187" s="910" t="s">
        <v>49</v>
      </c>
      <c r="H187" s="846">
        <v>2019</v>
      </c>
      <c r="I187" s="846"/>
      <c r="J187" s="846">
        <v>2021</v>
      </c>
      <c r="K187" s="846"/>
      <c r="L187" s="846"/>
      <c r="M187" s="480" t="s">
        <v>1827</v>
      </c>
      <c r="N187" s="912">
        <v>4500</v>
      </c>
      <c r="O187" s="912"/>
      <c r="P187" s="912">
        <v>2700</v>
      </c>
      <c r="Q187" s="912"/>
      <c r="R187" s="912"/>
      <c r="S187" s="912"/>
      <c r="T187" s="912"/>
      <c r="U187" s="912"/>
      <c r="V187" s="912"/>
      <c r="W187" s="912"/>
      <c r="X187" s="912"/>
      <c r="Y187" s="912"/>
      <c r="Z187" s="776">
        <f t="shared" si="65"/>
        <v>0</v>
      </c>
      <c r="AA187" s="912"/>
      <c r="AB187" s="912"/>
      <c r="AC187" s="912"/>
      <c r="AD187" s="807"/>
      <c r="AE187" s="807">
        <f t="shared" si="69"/>
        <v>0</v>
      </c>
      <c r="AF187" s="931"/>
      <c r="AG187" s="844"/>
      <c r="AH187" s="932"/>
      <c r="AK187" s="747" t="s">
        <v>2003</v>
      </c>
      <c r="AL187" s="747"/>
      <c r="AM187" s="746"/>
      <c r="AN187" s="1173"/>
      <c r="AO187" s="914" t="s">
        <v>887</v>
      </c>
      <c r="AP187" s="802" t="s">
        <v>794</v>
      </c>
      <c r="AQ187" s="915" t="s">
        <v>1188</v>
      </c>
      <c r="AS187" s="802"/>
      <c r="AT187" s="802"/>
      <c r="AU187" s="803"/>
    </row>
    <row r="188" spans="1:47" ht="51">
      <c r="A188" s="844">
        <v>5</v>
      </c>
      <c r="B188" s="909" t="s">
        <v>1189</v>
      </c>
      <c r="C188" s="909"/>
      <c r="D188" s="909"/>
      <c r="E188" s="909"/>
      <c r="F188" s="909"/>
      <c r="G188" s="910" t="s">
        <v>49</v>
      </c>
      <c r="H188" s="846">
        <v>2019</v>
      </c>
      <c r="I188" s="846"/>
      <c r="J188" s="846">
        <v>2021</v>
      </c>
      <c r="K188" s="846"/>
      <c r="L188" s="846"/>
      <c r="M188" s="911" t="s">
        <v>1849</v>
      </c>
      <c r="N188" s="912">
        <v>5500</v>
      </c>
      <c r="O188" s="912"/>
      <c r="P188" s="912">
        <v>3300</v>
      </c>
      <c r="Q188" s="912"/>
      <c r="R188" s="912"/>
      <c r="S188" s="912"/>
      <c r="T188" s="912"/>
      <c r="U188" s="912"/>
      <c r="V188" s="912"/>
      <c r="W188" s="912"/>
      <c r="X188" s="912"/>
      <c r="Y188" s="912"/>
      <c r="Z188" s="776">
        <f t="shared" si="65"/>
        <v>0</v>
      </c>
      <c r="AA188" s="912"/>
      <c r="AB188" s="912"/>
      <c r="AC188" s="912"/>
      <c r="AD188" s="807">
        <f>P188*0.6</f>
        <v>1980</v>
      </c>
      <c r="AE188" s="807">
        <f t="shared" si="69"/>
        <v>1980</v>
      </c>
      <c r="AF188" s="931"/>
      <c r="AG188" s="844"/>
      <c r="AH188" s="932"/>
      <c r="AK188" s="747" t="s">
        <v>1967</v>
      </c>
      <c r="AL188" s="747"/>
      <c r="AM188" s="746"/>
      <c r="AN188" s="1173" t="s">
        <v>2087</v>
      </c>
      <c r="AO188" s="914" t="s">
        <v>901</v>
      </c>
      <c r="AP188" s="802" t="s">
        <v>1190</v>
      </c>
      <c r="AQ188" s="915" t="s">
        <v>1191</v>
      </c>
      <c r="AS188" s="802"/>
      <c r="AT188" s="802"/>
      <c r="AU188" s="803"/>
    </row>
    <row r="189" spans="1:47" ht="51">
      <c r="A189" s="804">
        <v>6</v>
      </c>
      <c r="B189" s="909" t="s">
        <v>1192</v>
      </c>
      <c r="C189" s="909"/>
      <c r="D189" s="909"/>
      <c r="E189" s="909"/>
      <c r="F189" s="909"/>
      <c r="G189" s="910" t="s">
        <v>49</v>
      </c>
      <c r="H189" s="846">
        <v>2019</v>
      </c>
      <c r="I189" s="846"/>
      <c r="J189" s="846">
        <v>2021</v>
      </c>
      <c r="K189" s="846"/>
      <c r="L189" s="846"/>
      <c r="M189" s="911" t="s">
        <v>1850</v>
      </c>
      <c r="N189" s="912">
        <v>3500</v>
      </c>
      <c r="O189" s="912"/>
      <c r="P189" s="912">
        <v>2100</v>
      </c>
      <c r="Q189" s="912"/>
      <c r="R189" s="912"/>
      <c r="S189" s="912"/>
      <c r="T189" s="912"/>
      <c r="U189" s="912"/>
      <c r="V189" s="912"/>
      <c r="W189" s="912"/>
      <c r="X189" s="912"/>
      <c r="Y189" s="912"/>
      <c r="Z189" s="776">
        <f t="shared" si="65"/>
        <v>0</v>
      </c>
      <c r="AA189" s="912"/>
      <c r="AB189" s="912"/>
      <c r="AC189" s="912"/>
      <c r="AD189" s="807"/>
      <c r="AE189" s="807">
        <f t="shared" si="69"/>
        <v>0</v>
      </c>
      <c r="AF189" s="931"/>
      <c r="AG189" s="844"/>
      <c r="AH189" s="932"/>
      <c r="AK189" s="747" t="s">
        <v>49</v>
      </c>
      <c r="AL189" s="747"/>
      <c r="AM189" s="746"/>
      <c r="AN189" s="1173"/>
      <c r="AO189" s="914" t="s">
        <v>836</v>
      </c>
      <c r="AP189" s="802" t="s">
        <v>1193</v>
      </c>
      <c r="AQ189" s="915" t="s">
        <v>1194</v>
      </c>
      <c r="AS189" s="802"/>
      <c r="AT189" s="802"/>
      <c r="AU189" s="803"/>
    </row>
    <row r="190" spans="1:47" ht="38.25">
      <c r="A190" s="844">
        <v>7</v>
      </c>
      <c r="B190" s="909" t="s">
        <v>1195</v>
      </c>
      <c r="C190" s="909"/>
      <c r="D190" s="909"/>
      <c r="E190" s="909"/>
      <c r="F190" s="909"/>
      <c r="G190" s="910" t="s">
        <v>49</v>
      </c>
      <c r="H190" s="846">
        <v>2019</v>
      </c>
      <c r="I190" s="846"/>
      <c r="J190" s="846">
        <v>2021</v>
      </c>
      <c r="K190" s="846"/>
      <c r="L190" s="846"/>
      <c r="M190" s="939"/>
      <c r="N190" s="912">
        <v>6000</v>
      </c>
      <c r="O190" s="912"/>
      <c r="P190" s="912">
        <v>3600</v>
      </c>
      <c r="Q190" s="912"/>
      <c r="R190" s="912"/>
      <c r="S190" s="912"/>
      <c r="T190" s="912"/>
      <c r="U190" s="912"/>
      <c r="V190" s="912"/>
      <c r="W190" s="912"/>
      <c r="X190" s="912"/>
      <c r="Y190" s="912"/>
      <c r="Z190" s="776">
        <f t="shared" si="65"/>
        <v>0</v>
      </c>
      <c r="AA190" s="912"/>
      <c r="AB190" s="912"/>
      <c r="AC190" s="912"/>
      <c r="AD190" s="807"/>
      <c r="AE190" s="807">
        <f t="shared" si="69"/>
        <v>0</v>
      </c>
      <c r="AF190" s="931"/>
      <c r="AG190" s="844"/>
      <c r="AH190" s="932"/>
      <c r="AK190" s="747" t="s">
        <v>1969</v>
      </c>
      <c r="AL190" s="747"/>
      <c r="AM190" s="746"/>
      <c r="AN190" s="1173" t="s">
        <v>2087</v>
      </c>
      <c r="AO190" s="914" t="s">
        <v>1196</v>
      </c>
      <c r="AP190" s="802" t="s">
        <v>794</v>
      </c>
      <c r="AQ190" s="915"/>
      <c r="AS190" s="802"/>
      <c r="AT190" s="802"/>
      <c r="AU190" s="803"/>
    </row>
    <row r="191" spans="1:47" ht="51">
      <c r="A191" s="804">
        <v>8</v>
      </c>
      <c r="B191" s="909" t="s">
        <v>1197</v>
      </c>
      <c r="C191" s="909"/>
      <c r="D191" s="909"/>
      <c r="E191" s="909"/>
      <c r="F191" s="909"/>
      <c r="G191" s="910" t="s">
        <v>49</v>
      </c>
      <c r="H191" s="846">
        <v>2019</v>
      </c>
      <c r="I191" s="846"/>
      <c r="J191" s="846">
        <v>2021</v>
      </c>
      <c r="K191" s="846"/>
      <c r="L191" s="846"/>
      <c r="M191" s="911" t="s">
        <v>1851</v>
      </c>
      <c r="N191" s="912">
        <v>3000</v>
      </c>
      <c r="O191" s="912"/>
      <c r="P191" s="912">
        <v>1800</v>
      </c>
      <c r="Q191" s="912"/>
      <c r="R191" s="912"/>
      <c r="S191" s="912"/>
      <c r="T191" s="912"/>
      <c r="U191" s="912"/>
      <c r="V191" s="912"/>
      <c r="W191" s="912"/>
      <c r="X191" s="912"/>
      <c r="Y191" s="912"/>
      <c r="Z191" s="776">
        <f t="shared" si="65"/>
        <v>0</v>
      </c>
      <c r="AA191" s="912"/>
      <c r="AB191" s="912"/>
      <c r="AC191" s="912"/>
      <c r="AD191" s="807"/>
      <c r="AE191" s="807">
        <f t="shared" si="69"/>
        <v>0</v>
      </c>
      <c r="AF191" s="931"/>
      <c r="AG191" s="844"/>
      <c r="AH191" s="932"/>
      <c r="AK191" s="747" t="s">
        <v>2039</v>
      </c>
      <c r="AL191" s="747"/>
      <c r="AM191" s="746"/>
      <c r="AN191" s="1173" t="s">
        <v>2087</v>
      </c>
      <c r="AO191" s="914" t="s">
        <v>1198</v>
      </c>
      <c r="AP191" s="802" t="s">
        <v>794</v>
      </c>
      <c r="AQ191" s="915" t="s">
        <v>1199</v>
      </c>
      <c r="AS191" s="802"/>
      <c r="AT191" s="802"/>
      <c r="AU191" s="803"/>
    </row>
    <row r="192" spans="1:47" ht="51">
      <c r="A192" s="844">
        <v>9</v>
      </c>
      <c r="B192" s="909" t="s">
        <v>1200</v>
      </c>
      <c r="C192" s="909"/>
      <c r="D192" s="909"/>
      <c r="E192" s="909"/>
      <c r="F192" s="909"/>
      <c r="G192" s="910" t="s">
        <v>17</v>
      </c>
      <c r="H192" s="846">
        <v>2019</v>
      </c>
      <c r="I192" s="846"/>
      <c r="J192" s="846">
        <v>2021</v>
      </c>
      <c r="K192" s="846"/>
      <c r="L192" s="846"/>
      <c r="M192" s="911" t="s">
        <v>1852</v>
      </c>
      <c r="N192" s="912">
        <v>4600</v>
      </c>
      <c r="O192" s="912"/>
      <c r="P192" s="912">
        <v>2760</v>
      </c>
      <c r="Q192" s="912"/>
      <c r="R192" s="912"/>
      <c r="S192" s="912"/>
      <c r="T192" s="912"/>
      <c r="U192" s="912"/>
      <c r="V192" s="912"/>
      <c r="W192" s="912"/>
      <c r="X192" s="912"/>
      <c r="Y192" s="912"/>
      <c r="Z192" s="776">
        <f t="shared" si="65"/>
        <v>0</v>
      </c>
      <c r="AA192" s="912"/>
      <c r="AB192" s="912"/>
      <c r="AC192" s="912"/>
      <c r="AD192" s="807"/>
      <c r="AE192" s="807">
        <f t="shared" si="69"/>
        <v>0</v>
      </c>
      <c r="AF192" s="931"/>
      <c r="AG192" s="844"/>
      <c r="AH192" s="932"/>
      <c r="AK192" s="747" t="s">
        <v>2028</v>
      </c>
      <c r="AL192" s="747"/>
      <c r="AM192" s="746"/>
      <c r="AN192" s="1173" t="s">
        <v>2087</v>
      </c>
      <c r="AO192" s="914" t="s">
        <v>1201</v>
      </c>
      <c r="AP192" s="802" t="s">
        <v>794</v>
      </c>
      <c r="AQ192" s="915" t="s">
        <v>1202</v>
      </c>
      <c r="AS192" s="802"/>
      <c r="AT192" s="802"/>
      <c r="AU192" s="803"/>
    </row>
    <row r="193" spans="1:47" ht="51">
      <c r="A193" s="804">
        <v>10</v>
      </c>
      <c r="B193" s="909" t="s">
        <v>1203</v>
      </c>
      <c r="C193" s="909"/>
      <c r="D193" s="909"/>
      <c r="E193" s="909"/>
      <c r="F193" s="909"/>
      <c r="G193" s="910" t="s">
        <v>17</v>
      </c>
      <c r="H193" s="846">
        <v>2019</v>
      </c>
      <c r="I193" s="846"/>
      <c r="J193" s="846">
        <v>2021</v>
      </c>
      <c r="K193" s="846"/>
      <c r="L193" s="846"/>
      <c r="M193" s="911" t="s">
        <v>1853</v>
      </c>
      <c r="N193" s="912">
        <v>3300</v>
      </c>
      <c r="O193" s="912"/>
      <c r="P193" s="912">
        <v>1980</v>
      </c>
      <c r="Q193" s="912"/>
      <c r="R193" s="912"/>
      <c r="S193" s="912"/>
      <c r="T193" s="912"/>
      <c r="U193" s="912"/>
      <c r="V193" s="912"/>
      <c r="W193" s="912"/>
      <c r="X193" s="912"/>
      <c r="Y193" s="912"/>
      <c r="Z193" s="776">
        <f t="shared" si="65"/>
        <v>0</v>
      </c>
      <c r="AA193" s="912"/>
      <c r="AB193" s="912"/>
      <c r="AC193" s="912"/>
      <c r="AD193" s="807"/>
      <c r="AE193" s="807">
        <f t="shared" si="69"/>
        <v>0</v>
      </c>
      <c r="AF193" s="931"/>
      <c r="AG193" s="844"/>
      <c r="AH193" s="932"/>
      <c r="AK193" s="747" t="s">
        <v>2028</v>
      </c>
      <c r="AL193" s="747"/>
      <c r="AM193" s="746"/>
      <c r="AN193" s="1173" t="s">
        <v>2087</v>
      </c>
      <c r="AO193" s="914" t="s">
        <v>1201</v>
      </c>
      <c r="AP193" s="802" t="s">
        <v>794</v>
      </c>
      <c r="AQ193" s="915" t="s">
        <v>1204</v>
      </c>
      <c r="AS193" s="802"/>
      <c r="AT193" s="802"/>
      <c r="AU193" s="803"/>
    </row>
    <row r="194" spans="1:47" ht="51">
      <c r="A194" s="844">
        <v>11</v>
      </c>
      <c r="B194" s="909" t="s">
        <v>1205</v>
      </c>
      <c r="C194" s="909"/>
      <c r="D194" s="909"/>
      <c r="E194" s="909"/>
      <c r="F194" s="909"/>
      <c r="G194" s="910" t="s">
        <v>17</v>
      </c>
      <c r="H194" s="846">
        <v>2019</v>
      </c>
      <c r="I194" s="846"/>
      <c r="J194" s="846">
        <v>2021</v>
      </c>
      <c r="K194" s="846"/>
      <c r="L194" s="846"/>
      <c r="M194" s="480" t="s">
        <v>1206</v>
      </c>
      <c r="N194" s="912">
        <v>4500</v>
      </c>
      <c r="O194" s="912"/>
      <c r="P194" s="912">
        <v>2700</v>
      </c>
      <c r="Q194" s="912"/>
      <c r="R194" s="912"/>
      <c r="S194" s="912"/>
      <c r="T194" s="912"/>
      <c r="U194" s="912"/>
      <c r="V194" s="912"/>
      <c r="W194" s="912"/>
      <c r="X194" s="912"/>
      <c r="Y194" s="912"/>
      <c r="Z194" s="776">
        <f t="shared" si="65"/>
        <v>0</v>
      </c>
      <c r="AA194" s="912"/>
      <c r="AB194" s="912"/>
      <c r="AC194" s="912"/>
      <c r="AD194" s="807"/>
      <c r="AE194" s="807">
        <f t="shared" si="69"/>
        <v>0</v>
      </c>
      <c r="AF194" s="931"/>
      <c r="AG194" s="844"/>
      <c r="AH194" s="932"/>
      <c r="AK194" s="747" t="s">
        <v>1951</v>
      </c>
      <c r="AL194" s="747"/>
      <c r="AM194" s="746"/>
      <c r="AN194" s="1173" t="s">
        <v>2087</v>
      </c>
      <c r="AO194" s="914" t="s">
        <v>922</v>
      </c>
      <c r="AP194" s="802" t="s">
        <v>794</v>
      </c>
      <c r="AQ194" s="915" t="s">
        <v>1207</v>
      </c>
      <c r="AS194" s="802"/>
      <c r="AT194" s="802"/>
      <c r="AU194" s="803"/>
    </row>
    <row r="195" spans="1:47" ht="51">
      <c r="A195" s="804">
        <v>12</v>
      </c>
      <c r="B195" s="909" t="s">
        <v>1208</v>
      </c>
      <c r="C195" s="909"/>
      <c r="D195" s="909"/>
      <c r="E195" s="909"/>
      <c r="F195" s="909"/>
      <c r="G195" s="910" t="s">
        <v>17</v>
      </c>
      <c r="H195" s="846">
        <v>2019</v>
      </c>
      <c r="I195" s="846"/>
      <c r="J195" s="846">
        <v>2021</v>
      </c>
      <c r="K195" s="846"/>
      <c r="L195" s="846"/>
      <c r="M195" s="911" t="s">
        <v>1854</v>
      </c>
      <c r="N195" s="912">
        <v>4500</v>
      </c>
      <c r="O195" s="912"/>
      <c r="P195" s="912">
        <v>2700</v>
      </c>
      <c r="Q195" s="912"/>
      <c r="R195" s="912"/>
      <c r="S195" s="912"/>
      <c r="T195" s="912"/>
      <c r="U195" s="912"/>
      <c r="V195" s="912"/>
      <c r="W195" s="912"/>
      <c r="X195" s="912"/>
      <c r="Y195" s="912"/>
      <c r="Z195" s="776">
        <f t="shared" si="65"/>
        <v>0</v>
      </c>
      <c r="AA195" s="912"/>
      <c r="AB195" s="912"/>
      <c r="AC195" s="912"/>
      <c r="AD195" s="807"/>
      <c r="AE195" s="807">
        <f t="shared" si="69"/>
        <v>0</v>
      </c>
      <c r="AF195" s="931"/>
      <c r="AG195" s="844"/>
      <c r="AH195" s="932"/>
      <c r="AK195" s="747" t="s">
        <v>1966</v>
      </c>
      <c r="AL195" s="747"/>
      <c r="AM195" s="746" t="s">
        <v>2081</v>
      </c>
      <c r="AN195" s="1173" t="s">
        <v>2087</v>
      </c>
      <c r="AO195" s="914" t="s">
        <v>998</v>
      </c>
      <c r="AP195" s="802" t="s">
        <v>794</v>
      </c>
      <c r="AQ195" s="915" t="s">
        <v>1209</v>
      </c>
      <c r="AS195" s="802"/>
      <c r="AT195" s="802"/>
      <c r="AU195" s="803"/>
    </row>
    <row r="196" spans="1:47" ht="38.25">
      <c r="A196" s="844">
        <v>13</v>
      </c>
      <c r="B196" s="909" t="s">
        <v>1210</v>
      </c>
      <c r="C196" s="909"/>
      <c r="D196" s="909"/>
      <c r="E196" s="909"/>
      <c r="F196" s="909"/>
      <c r="G196" s="910" t="s">
        <v>33</v>
      </c>
      <c r="H196" s="846">
        <v>2019</v>
      </c>
      <c r="I196" s="846"/>
      <c r="J196" s="846">
        <v>2021</v>
      </c>
      <c r="K196" s="846"/>
      <c r="L196" s="846"/>
      <c r="M196" s="480"/>
      <c r="N196" s="912">
        <v>6000</v>
      </c>
      <c r="O196" s="912"/>
      <c r="P196" s="912">
        <v>3600</v>
      </c>
      <c r="Q196" s="912"/>
      <c r="R196" s="912"/>
      <c r="S196" s="912"/>
      <c r="T196" s="912"/>
      <c r="U196" s="912"/>
      <c r="V196" s="912"/>
      <c r="W196" s="912"/>
      <c r="X196" s="912"/>
      <c r="Y196" s="912"/>
      <c r="Z196" s="776">
        <f t="shared" si="65"/>
        <v>0</v>
      </c>
      <c r="AA196" s="912"/>
      <c r="AB196" s="912"/>
      <c r="AC196" s="912"/>
      <c r="AD196" s="807"/>
      <c r="AE196" s="807">
        <f t="shared" si="69"/>
        <v>0</v>
      </c>
      <c r="AF196" s="931"/>
      <c r="AG196" s="844"/>
      <c r="AH196" s="932"/>
      <c r="AK196" s="747" t="s">
        <v>2051</v>
      </c>
      <c r="AL196" s="747"/>
      <c r="AM196" s="746"/>
      <c r="AN196" s="1173" t="s">
        <v>2087</v>
      </c>
      <c r="AO196" s="914" t="s">
        <v>934</v>
      </c>
      <c r="AP196" s="802" t="s">
        <v>794</v>
      </c>
      <c r="AQ196" s="915"/>
      <c r="AS196" s="802"/>
      <c r="AT196" s="802"/>
      <c r="AU196" s="803"/>
    </row>
    <row r="197" spans="1:47" ht="25.5">
      <c r="A197" s="804">
        <v>14</v>
      </c>
      <c r="B197" s="909" t="s">
        <v>2111</v>
      </c>
      <c r="C197" s="909"/>
      <c r="D197" s="909"/>
      <c r="E197" s="909"/>
      <c r="F197" s="909"/>
      <c r="G197" s="910" t="s">
        <v>33</v>
      </c>
      <c r="H197" s="846">
        <v>2019</v>
      </c>
      <c r="I197" s="846"/>
      <c r="J197" s="846">
        <v>2021</v>
      </c>
      <c r="K197" s="846"/>
      <c r="L197" s="846"/>
      <c r="M197" s="480"/>
      <c r="N197" s="912">
        <v>3200</v>
      </c>
      <c r="O197" s="912"/>
      <c r="P197" s="912">
        <v>1800</v>
      </c>
      <c r="Q197" s="912"/>
      <c r="R197" s="912"/>
      <c r="S197" s="912"/>
      <c r="T197" s="912"/>
      <c r="U197" s="912"/>
      <c r="V197" s="912"/>
      <c r="W197" s="912"/>
      <c r="X197" s="912"/>
      <c r="Y197" s="912"/>
      <c r="Z197" s="776">
        <f t="shared" si="65"/>
        <v>0</v>
      </c>
      <c r="AA197" s="912"/>
      <c r="AB197" s="912"/>
      <c r="AC197" s="912"/>
      <c r="AD197" s="807"/>
      <c r="AE197" s="807">
        <f t="shared" si="69"/>
        <v>0</v>
      </c>
      <c r="AF197" s="931"/>
      <c r="AG197" s="844"/>
      <c r="AH197" s="932"/>
      <c r="AK197" s="747" t="s">
        <v>2051</v>
      </c>
      <c r="AL197" s="747"/>
      <c r="AM197" s="746"/>
      <c r="AN197" s="1173" t="s">
        <v>2087</v>
      </c>
      <c r="AO197" s="914" t="s">
        <v>1211</v>
      </c>
      <c r="AP197" s="1550" t="s">
        <v>1212</v>
      </c>
      <c r="AQ197" s="940"/>
      <c r="AR197" s="1551"/>
      <c r="AS197" s="1550"/>
      <c r="AT197" s="1550"/>
      <c r="AU197" s="1552"/>
    </row>
    <row r="198" spans="1:47" ht="51">
      <c r="A198" s="844">
        <v>15</v>
      </c>
      <c r="B198" s="909" t="s">
        <v>2112</v>
      </c>
      <c r="C198" s="909"/>
      <c r="D198" s="909"/>
      <c r="E198" s="909"/>
      <c r="F198" s="909"/>
      <c r="G198" s="910" t="s">
        <v>33</v>
      </c>
      <c r="H198" s="846">
        <v>2019</v>
      </c>
      <c r="I198" s="846"/>
      <c r="J198" s="846">
        <v>2021</v>
      </c>
      <c r="K198" s="846"/>
      <c r="L198" s="846"/>
      <c r="M198" s="480"/>
      <c r="N198" s="912">
        <v>4600</v>
      </c>
      <c r="O198" s="912"/>
      <c r="P198" s="912">
        <v>2760</v>
      </c>
      <c r="Q198" s="912"/>
      <c r="R198" s="912"/>
      <c r="S198" s="912"/>
      <c r="T198" s="912"/>
      <c r="U198" s="912"/>
      <c r="V198" s="912"/>
      <c r="W198" s="912"/>
      <c r="X198" s="912"/>
      <c r="Y198" s="912"/>
      <c r="Z198" s="776">
        <f t="shared" si="65"/>
        <v>0</v>
      </c>
      <c r="AA198" s="912"/>
      <c r="AB198" s="912"/>
      <c r="AC198" s="912"/>
      <c r="AD198" s="807"/>
      <c r="AE198" s="807">
        <f t="shared" si="69"/>
        <v>0</v>
      </c>
      <c r="AF198" s="931"/>
      <c r="AG198" s="844"/>
      <c r="AH198" s="932"/>
      <c r="AK198" s="747" t="s">
        <v>2052</v>
      </c>
      <c r="AL198" s="747"/>
      <c r="AM198" s="746"/>
      <c r="AN198" s="1173" t="s">
        <v>2087</v>
      </c>
      <c r="AO198" s="914" t="s">
        <v>934</v>
      </c>
      <c r="AP198" s="941" t="s">
        <v>1213</v>
      </c>
      <c r="AQ198" s="915" t="s">
        <v>1214</v>
      </c>
      <c r="AS198" s="802"/>
      <c r="AT198" s="802"/>
      <c r="AU198" s="803"/>
    </row>
    <row r="199" spans="1:47" ht="38.25">
      <c r="A199" s="804">
        <v>16</v>
      </c>
      <c r="B199" s="909" t="s">
        <v>2113</v>
      </c>
      <c r="C199" s="909"/>
      <c r="D199" s="909"/>
      <c r="E199" s="909"/>
      <c r="F199" s="909"/>
      <c r="G199" s="910" t="s">
        <v>33</v>
      </c>
      <c r="H199" s="846">
        <v>2019</v>
      </c>
      <c r="I199" s="846"/>
      <c r="J199" s="846">
        <v>2021</v>
      </c>
      <c r="K199" s="846"/>
      <c r="L199" s="846"/>
      <c r="M199" s="480"/>
      <c r="N199" s="912">
        <v>5000</v>
      </c>
      <c r="O199" s="912"/>
      <c r="P199" s="912">
        <v>3000</v>
      </c>
      <c r="Q199" s="912"/>
      <c r="R199" s="912"/>
      <c r="S199" s="912"/>
      <c r="T199" s="912"/>
      <c r="U199" s="912"/>
      <c r="V199" s="912"/>
      <c r="W199" s="912"/>
      <c r="X199" s="912"/>
      <c r="Y199" s="912"/>
      <c r="Z199" s="776">
        <f t="shared" si="65"/>
        <v>0</v>
      </c>
      <c r="AA199" s="912"/>
      <c r="AB199" s="912"/>
      <c r="AC199" s="912"/>
      <c r="AD199" s="807"/>
      <c r="AE199" s="807">
        <f t="shared" si="69"/>
        <v>0</v>
      </c>
      <c r="AF199" s="931"/>
      <c r="AG199" s="844"/>
      <c r="AH199" s="932"/>
      <c r="AK199" s="747" t="s">
        <v>2053</v>
      </c>
      <c r="AL199" s="747"/>
      <c r="AM199" s="746" t="s">
        <v>2081</v>
      </c>
      <c r="AN199" s="1173" t="s">
        <v>2087</v>
      </c>
      <c r="AO199" s="914" t="s">
        <v>1215</v>
      </c>
      <c r="AP199" s="837" t="s">
        <v>1216</v>
      </c>
      <c r="AQ199" s="915"/>
      <c r="AS199" s="802"/>
      <c r="AT199" s="802"/>
      <c r="AU199" s="803"/>
    </row>
    <row r="200" spans="1:47" ht="34.5" customHeight="1">
      <c r="A200" s="844">
        <v>17</v>
      </c>
      <c r="B200" s="909" t="s">
        <v>1217</v>
      </c>
      <c r="C200" s="909"/>
      <c r="D200" s="909"/>
      <c r="E200" s="909"/>
      <c r="F200" s="909"/>
      <c r="G200" s="910" t="s">
        <v>33</v>
      </c>
      <c r="H200" s="846">
        <v>2019</v>
      </c>
      <c r="I200" s="846"/>
      <c r="J200" s="846">
        <v>2021</v>
      </c>
      <c r="K200" s="846"/>
      <c r="L200" s="846"/>
      <c r="M200" s="911" t="s">
        <v>1855</v>
      </c>
      <c r="N200" s="912">
        <v>3500</v>
      </c>
      <c r="O200" s="912"/>
      <c r="P200" s="912">
        <v>2100</v>
      </c>
      <c r="Q200" s="912"/>
      <c r="R200" s="912"/>
      <c r="S200" s="912"/>
      <c r="T200" s="912"/>
      <c r="U200" s="912"/>
      <c r="V200" s="912"/>
      <c r="W200" s="912"/>
      <c r="X200" s="912"/>
      <c r="Y200" s="912"/>
      <c r="Z200" s="776">
        <f t="shared" si="65"/>
        <v>0</v>
      </c>
      <c r="AA200" s="912"/>
      <c r="AB200" s="912"/>
      <c r="AC200" s="912"/>
      <c r="AD200" s="807"/>
      <c r="AE200" s="807">
        <f t="shared" si="69"/>
        <v>0</v>
      </c>
      <c r="AF200" s="931"/>
      <c r="AG200" s="844"/>
      <c r="AH200" s="932"/>
      <c r="AK200" s="747" t="s">
        <v>2014</v>
      </c>
      <c r="AL200" s="747"/>
      <c r="AM200" s="746"/>
      <c r="AN200" s="1173" t="s">
        <v>2087</v>
      </c>
      <c r="AO200" s="914" t="s">
        <v>934</v>
      </c>
      <c r="AP200" s="802" t="s">
        <v>794</v>
      </c>
      <c r="AQ200" s="915"/>
      <c r="AS200" s="802"/>
      <c r="AT200" s="802"/>
      <c r="AU200" s="803"/>
    </row>
    <row r="201" spans="1:47" ht="63.75">
      <c r="A201" s="804">
        <v>18</v>
      </c>
      <c r="B201" s="909" t="s">
        <v>1218</v>
      </c>
      <c r="C201" s="909"/>
      <c r="D201" s="909"/>
      <c r="E201" s="909"/>
      <c r="F201" s="909"/>
      <c r="G201" s="910" t="s">
        <v>33</v>
      </c>
      <c r="H201" s="846">
        <v>2019</v>
      </c>
      <c r="I201" s="846"/>
      <c r="J201" s="846">
        <v>2021</v>
      </c>
      <c r="K201" s="846"/>
      <c r="L201" s="846"/>
      <c r="M201" s="911" t="s">
        <v>1856</v>
      </c>
      <c r="N201" s="912">
        <v>3000</v>
      </c>
      <c r="O201" s="912"/>
      <c r="P201" s="912">
        <v>1800</v>
      </c>
      <c r="Q201" s="912"/>
      <c r="R201" s="912"/>
      <c r="S201" s="912"/>
      <c r="T201" s="912"/>
      <c r="U201" s="912"/>
      <c r="V201" s="912"/>
      <c r="W201" s="912"/>
      <c r="X201" s="912"/>
      <c r="Y201" s="912"/>
      <c r="Z201" s="776">
        <f t="shared" si="65"/>
        <v>0</v>
      </c>
      <c r="AA201" s="912"/>
      <c r="AB201" s="912"/>
      <c r="AC201" s="912"/>
      <c r="AD201" s="807"/>
      <c r="AE201" s="807">
        <f t="shared" si="69"/>
        <v>0</v>
      </c>
      <c r="AF201" s="931"/>
      <c r="AG201" s="844"/>
      <c r="AH201" s="932"/>
      <c r="AK201" s="747" t="s">
        <v>1990</v>
      </c>
      <c r="AL201" s="747"/>
      <c r="AM201" s="746"/>
      <c r="AN201" s="1173" t="s">
        <v>2087</v>
      </c>
      <c r="AO201" s="914" t="s">
        <v>1115</v>
      </c>
      <c r="AP201" s="849" t="s">
        <v>1219</v>
      </c>
      <c r="AQ201" s="915"/>
      <c r="AS201" s="802"/>
      <c r="AT201" s="802"/>
      <c r="AU201" s="803"/>
    </row>
    <row r="202" spans="1:47" ht="25.5">
      <c r="A202" s="844">
        <v>19</v>
      </c>
      <c r="B202" s="909" t="s">
        <v>2114</v>
      </c>
      <c r="C202" s="909"/>
      <c r="D202" s="909"/>
      <c r="E202" s="909"/>
      <c r="F202" s="909"/>
      <c r="G202" s="910" t="s">
        <v>33</v>
      </c>
      <c r="H202" s="846">
        <v>2019</v>
      </c>
      <c r="I202" s="846"/>
      <c r="J202" s="846">
        <v>2021</v>
      </c>
      <c r="K202" s="846"/>
      <c r="L202" s="846"/>
      <c r="M202" s="911" t="s">
        <v>1857</v>
      </c>
      <c r="N202" s="912">
        <v>5500</v>
      </c>
      <c r="O202" s="912"/>
      <c r="P202" s="912">
        <v>3300</v>
      </c>
      <c r="Q202" s="912"/>
      <c r="R202" s="912"/>
      <c r="S202" s="912"/>
      <c r="T202" s="912"/>
      <c r="U202" s="912"/>
      <c r="V202" s="912"/>
      <c r="W202" s="912"/>
      <c r="X202" s="912"/>
      <c r="Y202" s="912"/>
      <c r="Z202" s="776">
        <f t="shared" si="65"/>
        <v>0</v>
      </c>
      <c r="AA202" s="912"/>
      <c r="AB202" s="912"/>
      <c r="AC202" s="912"/>
      <c r="AD202" s="807"/>
      <c r="AE202" s="807">
        <f t="shared" si="69"/>
        <v>0</v>
      </c>
      <c r="AF202" s="931"/>
      <c r="AG202" s="844"/>
      <c r="AH202" s="932"/>
      <c r="AK202" s="747" t="s">
        <v>2054</v>
      </c>
      <c r="AL202" s="747"/>
      <c r="AM202" s="746"/>
      <c r="AN202" s="1173" t="s">
        <v>2087</v>
      </c>
      <c r="AO202" s="914" t="s">
        <v>1220</v>
      </c>
      <c r="AP202" s="802" t="s">
        <v>794</v>
      </c>
      <c r="AQ202" s="915"/>
      <c r="AS202" s="802"/>
      <c r="AT202" s="802"/>
      <c r="AU202" s="803"/>
    </row>
    <row r="203" spans="1:47" ht="38.25">
      <c r="A203" s="804">
        <v>20</v>
      </c>
      <c r="B203" s="909" t="s">
        <v>2115</v>
      </c>
      <c r="C203" s="909"/>
      <c r="D203" s="909"/>
      <c r="E203" s="909"/>
      <c r="F203" s="909"/>
      <c r="G203" s="910" t="s">
        <v>33</v>
      </c>
      <c r="H203" s="846">
        <v>2019</v>
      </c>
      <c r="I203" s="846"/>
      <c r="J203" s="846">
        <v>2021</v>
      </c>
      <c r="K203" s="846"/>
      <c r="L203" s="846"/>
      <c r="M203" s="911" t="s">
        <v>1858</v>
      </c>
      <c r="N203" s="912">
        <v>4800</v>
      </c>
      <c r="O203" s="912"/>
      <c r="P203" s="912">
        <v>2880</v>
      </c>
      <c r="Q203" s="912"/>
      <c r="R203" s="912"/>
      <c r="S203" s="912"/>
      <c r="T203" s="912"/>
      <c r="U203" s="912"/>
      <c r="V203" s="912"/>
      <c r="W203" s="912"/>
      <c r="X203" s="912"/>
      <c r="Y203" s="912"/>
      <c r="Z203" s="776">
        <f t="shared" si="65"/>
        <v>0</v>
      </c>
      <c r="AA203" s="912"/>
      <c r="AB203" s="912"/>
      <c r="AC203" s="912"/>
      <c r="AD203" s="807"/>
      <c r="AE203" s="807">
        <f t="shared" si="69"/>
        <v>0</v>
      </c>
      <c r="AF203" s="931"/>
      <c r="AG203" s="844"/>
      <c r="AH203" s="932"/>
      <c r="AK203" s="747" t="s">
        <v>1757</v>
      </c>
      <c r="AL203" s="747"/>
      <c r="AM203" s="746"/>
      <c r="AN203" s="1173" t="s">
        <v>2087</v>
      </c>
      <c r="AO203" s="914" t="s">
        <v>934</v>
      </c>
      <c r="AP203" s="802" t="s">
        <v>794</v>
      </c>
      <c r="AQ203" s="915"/>
      <c r="AS203" s="802"/>
      <c r="AT203" s="802"/>
      <c r="AU203" s="803"/>
    </row>
    <row r="204" spans="1:47" ht="25.5">
      <c r="A204" s="844">
        <v>21</v>
      </c>
      <c r="B204" s="909" t="s">
        <v>2116</v>
      </c>
      <c r="C204" s="909"/>
      <c r="D204" s="909"/>
      <c r="E204" s="909"/>
      <c r="F204" s="909"/>
      <c r="G204" s="910" t="s">
        <v>33</v>
      </c>
      <c r="H204" s="846">
        <v>2019</v>
      </c>
      <c r="I204" s="846"/>
      <c r="J204" s="846">
        <v>2021</v>
      </c>
      <c r="K204" s="846"/>
      <c r="L204" s="846"/>
      <c r="M204" s="911" t="s">
        <v>1859</v>
      </c>
      <c r="N204" s="912">
        <v>4500</v>
      </c>
      <c r="O204" s="912"/>
      <c r="P204" s="912">
        <v>2700</v>
      </c>
      <c r="Q204" s="912"/>
      <c r="R204" s="912"/>
      <c r="S204" s="912"/>
      <c r="T204" s="912"/>
      <c r="U204" s="912"/>
      <c r="V204" s="912"/>
      <c r="W204" s="912"/>
      <c r="X204" s="912"/>
      <c r="Y204" s="912"/>
      <c r="Z204" s="776">
        <f t="shared" si="65"/>
        <v>0</v>
      </c>
      <c r="AA204" s="912"/>
      <c r="AB204" s="912"/>
      <c r="AC204" s="912"/>
      <c r="AD204" s="807"/>
      <c r="AE204" s="807">
        <f t="shared" si="69"/>
        <v>0</v>
      </c>
      <c r="AF204" s="931"/>
      <c r="AG204" s="844"/>
      <c r="AH204" s="932"/>
      <c r="AK204" s="747" t="s">
        <v>2026</v>
      </c>
      <c r="AL204" s="747"/>
      <c r="AM204" s="746"/>
      <c r="AN204" s="1173" t="s">
        <v>2087</v>
      </c>
      <c r="AO204" s="914" t="s">
        <v>862</v>
      </c>
      <c r="AP204" s="802" t="s">
        <v>794</v>
      </c>
      <c r="AQ204" s="915"/>
      <c r="AS204" s="802"/>
      <c r="AT204" s="802"/>
      <c r="AU204" s="803"/>
    </row>
    <row r="205" spans="1:47" ht="63.75">
      <c r="A205" s="804">
        <v>22</v>
      </c>
      <c r="B205" s="903" t="s">
        <v>1224</v>
      </c>
      <c r="C205" s="903"/>
      <c r="D205" s="903"/>
      <c r="E205" s="903"/>
      <c r="F205" s="903"/>
      <c r="G205" s="478" t="s">
        <v>46</v>
      </c>
      <c r="H205" s="804">
        <v>2019</v>
      </c>
      <c r="I205" s="804"/>
      <c r="J205" s="804">
        <v>2021</v>
      </c>
      <c r="K205" s="804"/>
      <c r="L205" s="804"/>
      <c r="M205" s="911" t="s">
        <v>1860</v>
      </c>
      <c r="N205" s="904">
        <v>4500</v>
      </c>
      <c r="O205" s="904"/>
      <c r="P205" s="904">
        <v>2700</v>
      </c>
      <c r="Q205" s="904"/>
      <c r="R205" s="904"/>
      <c r="S205" s="904"/>
      <c r="T205" s="904"/>
      <c r="U205" s="904"/>
      <c r="V205" s="904"/>
      <c r="W205" s="904"/>
      <c r="X205" s="904"/>
      <c r="Y205" s="904"/>
      <c r="Z205" s="776">
        <f t="shared" si="65"/>
        <v>0</v>
      </c>
      <c r="AA205" s="904"/>
      <c r="AB205" s="904"/>
      <c r="AC205" s="904"/>
      <c r="AD205" s="807"/>
      <c r="AE205" s="807">
        <f t="shared" si="69"/>
        <v>0</v>
      </c>
      <c r="AF205" s="904"/>
      <c r="AG205" s="905"/>
      <c r="AH205" s="905"/>
      <c r="AK205" s="747" t="s">
        <v>2008</v>
      </c>
      <c r="AL205" s="747"/>
      <c r="AM205" s="746"/>
      <c r="AN205" s="1173" t="s">
        <v>2087</v>
      </c>
      <c r="AO205" s="478" t="s">
        <v>1225</v>
      </c>
      <c r="AP205" s="802" t="s">
        <v>1212</v>
      </c>
      <c r="AQ205" s="479" t="s">
        <v>1226</v>
      </c>
      <c r="AS205" s="802"/>
      <c r="AT205" s="802"/>
      <c r="AU205" s="803"/>
    </row>
    <row r="206" spans="1:47" ht="63.75">
      <c r="A206" s="844">
        <v>23</v>
      </c>
      <c r="B206" s="903" t="s">
        <v>1227</v>
      </c>
      <c r="C206" s="903"/>
      <c r="D206" s="903"/>
      <c r="E206" s="903"/>
      <c r="F206" s="903"/>
      <c r="G206" s="478" t="s">
        <v>10</v>
      </c>
      <c r="H206" s="804">
        <v>2019</v>
      </c>
      <c r="I206" s="804"/>
      <c r="J206" s="804">
        <v>2021</v>
      </c>
      <c r="K206" s="804"/>
      <c r="L206" s="804"/>
      <c r="M206" s="911" t="s">
        <v>1861</v>
      </c>
      <c r="N206" s="904">
        <v>3000</v>
      </c>
      <c r="O206" s="904"/>
      <c r="P206" s="904">
        <v>1800</v>
      </c>
      <c r="Q206" s="904"/>
      <c r="R206" s="904"/>
      <c r="S206" s="904"/>
      <c r="T206" s="904"/>
      <c r="U206" s="904"/>
      <c r="V206" s="904"/>
      <c r="W206" s="904"/>
      <c r="X206" s="904"/>
      <c r="Y206" s="904"/>
      <c r="Z206" s="776">
        <f t="shared" si="65"/>
        <v>0</v>
      </c>
      <c r="AA206" s="904"/>
      <c r="AB206" s="904"/>
      <c r="AC206" s="904"/>
      <c r="AD206" s="807"/>
      <c r="AE206" s="807">
        <f t="shared" si="69"/>
        <v>0</v>
      </c>
      <c r="AF206" s="904"/>
      <c r="AG206" s="905"/>
      <c r="AH206" s="905"/>
      <c r="AK206" s="747" t="s">
        <v>1972</v>
      </c>
      <c r="AL206" s="747"/>
      <c r="AM206" s="746" t="s">
        <v>2081</v>
      </c>
      <c r="AN206" s="1173" t="s">
        <v>2087</v>
      </c>
      <c r="AO206" s="478" t="s">
        <v>1228</v>
      </c>
      <c r="AP206" s="802" t="s">
        <v>794</v>
      </c>
      <c r="AQ206" s="479" t="s">
        <v>1229</v>
      </c>
      <c r="AS206" s="802"/>
      <c r="AT206" s="802"/>
      <c r="AU206" s="803"/>
    </row>
    <row r="207" spans="1:47" ht="51">
      <c r="A207" s="804">
        <v>24</v>
      </c>
      <c r="B207" s="903" t="s">
        <v>1230</v>
      </c>
      <c r="C207" s="903"/>
      <c r="D207" s="903"/>
      <c r="E207" s="903"/>
      <c r="F207" s="903"/>
      <c r="G207" s="478" t="s">
        <v>10</v>
      </c>
      <c r="H207" s="804">
        <v>2019</v>
      </c>
      <c r="I207" s="804"/>
      <c r="J207" s="804">
        <v>2021</v>
      </c>
      <c r="K207" s="804"/>
      <c r="L207" s="804"/>
      <c r="M207" s="911" t="s">
        <v>1862</v>
      </c>
      <c r="N207" s="904">
        <v>4000</v>
      </c>
      <c r="O207" s="904"/>
      <c r="P207" s="904">
        <v>2400</v>
      </c>
      <c r="Q207" s="904"/>
      <c r="R207" s="904"/>
      <c r="S207" s="904"/>
      <c r="T207" s="904"/>
      <c r="U207" s="904"/>
      <c r="V207" s="904"/>
      <c r="W207" s="904"/>
      <c r="X207" s="904"/>
      <c r="Y207" s="904"/>
      <c r="Z207" s="776">
        <f t="shared" si="65"/>
        <v>0</v>
      </c>
      <c r="AA207" s="904"/>
      <c r="AB207" s="904"/>
      <c r="AC207" s="904"/>
      <c r="AD207" s="807"/>
      <c r="AE207" s="807">
        <f t="shared" si="69"/>
        <v>0</v>
      </c>
      <c r="AF207" s="904"/>
      <c r="AG207" s="905"/>
      <c r="AH207" s="905"/>
      <c r="AK207" s="747" t="s">
        <v>2055</v>
      </c>
      <c r="AL207" s="747"/>
      <c r="AM207" s="746"/>
      <c r="AN207" s="1173" t="s">
        <v>2087</v>
      </c>
      <c r="AO207" s="478" t="s">
        <v>848</v>
      </c>
      <c r="AP207" s="802" t="s">
        <v>794</v>
      </c>
      <c r="AQ207" s="479" t="s">
        <v>1231</v>
      </c>
      <c r="AS207" s="802"/>
      <c r="AT207" s="802"/>
      <c r="AU207" s="803"/>
    </row>
    <row r="208" spans="1:47" ht="51">
      <c r="A208" s="844">
        <v>25</v>
      </c>
      <c r="B208" s="903" t="s">
        <v>1232</v>
      </c>
      <c r="C208" s="903"/>
      <c r="D208" s="903"/>
      <c r="E208" s="903"/>
      <c r="F208" s="903"/>
      <c r="G208" s="478" t="s">
        <v>10</v>
      </c>
      <c r="H208" s="804">
        <v>2019</v>
      </c>
      <c r="I208" s="804"/>
      <c r="J208" s="804">
        <v>2021</v>
      </c>
      <c r="K208" s="804"/>
      <c r="L208" s="804"/>
      <c r="M208" s="478"/>
      <c r="N208" s="904">
        <v>5000</v>
      </c>
      <c r="O208" s="904"/>
      <c r="P208" s="904">
        <v>3000</v>
      </c>
      <c r="Q208" s="904"/>
      <c r="R208" s="904"/>
      <c r="S208" s="904"/>
      <c r="T208" s="904"/>
      <c r="U208" s="904"/>
      <c r="V208" s="904"/>
      <c r="W208" s="904"/>
      <c r="X208" s="904"/>
      <c r="Y208" s="904"/>
      <c r="Z208" s="776">
        <f t="shared" si="65"/>
        <v>0</v>
      </c>
      <c r="AA208" s="904"/>
      <c r="AB208" s="904"/>
      <c r="AC208" s="904"/>
      <c r="AD208" s="807"/>
      <c r="AE208" s="807">
        <f t="shared" si="69"/>
        <v>0</v>
      </c>
      <c r="AF208" s="904"/>
      <c r="AG208" s="905"/>
      <c r="AH208" s="905"/>
      <c r="AK208" s="747" t="s">
        <v>1979</v>
      </c>
      <c r="AL208" s="747"/>
      <c r="AM208" s="746"/>
      <c r="AN208" s="1173" t="s">
        <v>2087</v>
      </c>
      <c r="AO208" s="478" t="s">
        <v>876</v>
      </c>
      <c r="AP208" s="802" t="s">
        <v>794</v>
      </c>
      <c r="AQ208" s="479" t="s">
        <v>1233</v>
      </c>
      <c r="AS208" s="802"/>
      <c r="AT208" s="802"/>
      <c r="AU208" s="803"/>
    </row>
    <row r="209" spans="1:51" ht="51">
      <c r="A209" s="804">
        <v>26</v>
      </c>
      <c r="B209" s="903" t="s">
        <v>1234</v>
      </c>
      <c r="C209" s="903"/>
      <c r="D209" s="903"/>
      <c r="E209" s="903"/>
      <c r="F209" s="903"/>
      <c r="G209" s="478" t="s">
        <v>10</v>
      </c>
      <c r="H209" s="804">
        <v>2019</v>
      </c>
      <c r="I209" s="804"/>
      <c r="J209" s="804">
        <v>2021</v>
      </c>
      <c r="K209" s="804"/>
      <c r="L209" s="804"/>
      <c r="M209" s="478"/>
      <c r="N209" s="904">
        <v>5000</v>
      </c>
      <c r="O209" s="904"/>
      <c r="P209" s="904">
        <v>3000</v>
      </c>
      <c r="Q209" s="904"/>
      <c r="R209" s="904"/>
      <c r="S209" s="904"/>
      <c r="T209" s="904"/>
      <c r="U209" s="904"/>
      <c r="V209" s="904"/>
      <c r="W209" s="904"/>
      <c r="X209" s="904"/>
      <c r="Y209" s="904"/>
      <c r="Z209" s="776">
        <f t="shared" si="65"/>
        <v>0</v>
      </c>
      <c r="AA209" s="904"/>
      <c r="AB209" s="904"/>
      <c r="AC209" s="904"/>
      <c r="AD209" s="807"/>
      <c r="AE209" s="807">
        <f t="shared" si="69"/>
        <v>0</v>
      </c>
      <c r="AF209" s="904"/>
      <c r="AG209" s="905"/>
      <c r="AH209" s="905"/>
      <c r="AK209" s="747" t="s">
        <v>2036</v>
      </c>
      <c r="AL209" s="747"/>
      <c r="AM209" s="746"/>
      <c r="AN209" s="1173" t="s">
        <v>2087</v>
      </c>
      <c r="AO209" s="478" t="s">
        <v>904</v>
      </c>
      <c r="AP209" s="802" t="s">
        <v>1185</v>
      </c>
      <c r="AQ209" s="479" t="s">
        <v>1235</v>
      </c>
      <c r="AS209" s="802"/>
      <c r="AT209" s="802"/>
      <c r="AU209" s="803"/>
    </row>
    <row r="210" spans="1:51" ht="51">
      <c r="A210" s="844">
        <v>27</v>
      </c>
      <c r="B210" s="903" t="s">
        <v>1236</v>
      </c>
      <c r="C210" s="903"/>
      <c r="D210" s="903"/>
      <c r="E210" s="903"/>
      <c r="F210" s="903"/>
      <c r="G210" s="478" t="s">
        <v>10</v>
      </c>
      <c r="H210" s="804">
        <v>2019</v>
      </c>
      <c r="I210" s="804"/>
      <c r="J210" s="804">
        <v>2021</v>
      </c>
      <c r="K210" s="804"/>
      <c r="L210" s="804"/>
      <c r="M210" s="478"/>
      <c r="N210" s="904">
        <v>4500</v>
      </c>
      <c r="O210" s="904"/>
      <c r="P210" s="904">
        <v>2700</v>
      </c>
      <c r="Q210" s="904"/>
      <c r="R210" s="904"/>
      <c r="S210" s="904"/>
      <c r="T210" s="904"/>
      <c r="U210" s="904"/>
      <c r="V210" s="904"/>
      <c r="W210" s="904"/>
      <c r="X210" s="904"/>
      <c r="Y210" s="904"/>
      <c r="Z210" s="776">
        <f t="shared" si="65"/>
        <v>0</v>
      </c>
      <c r="AA210" s="904"/>
      <c r="AB210" s="904"/>
      <c r="AC210" s="904"/>
      <c r="AD210" s="807"/>
      <c r="AE210" s="807">
        <f t="shared" si="69"/>
        <v>0</v>
      </c>
      <c r="AF210" s="904"/>
      <c r="AG210" s="905"/>
      <c r="AH210" s="905"/>
      <c r="AK210" s="747" t="s">
        <v>1971</v>
      </c>
      <c r="AL210" s="747"/>
      <c r="AM210" s="746"/>
      <c r="AN210" s="1173" t="s">
        <v>2087</v>
      </c>
      <c r="AO210" s="478" t="s">
        <v>880</v>
      </c>
      <c r="AP210" s="802" t="s">
        <v>1237</v>
      </c>
      <c r="AQ210" s="479" t="s">
        <v>1238</v>
      </c>
      <c r="AS210" s="802"/>
      <c r="AT210" s="802"/>
      <c r="AU210" s="803"/>
    </row>
    <row r="211" spans="1:51" ht="25.5">
      <c r="A211" s="804">
        <v>28</v>
      </c>
      <c r="B211" s="903" t="s">
        <v>1239</v>
      </c>
      <c r="C211" s="903"/>
      <c r="D211" s="903"/>
      <c r="E211" s="903"/>
      <c r="F211" s="903"/>
      <c r="G211" s="478" t="s">
        <v>10</v>
      </c>
      <c r="H211" s="804">
        <v>2019</v>
      </c>
      <c r="I211" s="804"/>
      <c r="J211" s="804">
        <v>2021</v>
      </c>
      <c r="K211" s="804"/>
      <c r="L211" s="804"/>
      <c r="M211" s="478" t="s">
        <v>2082</v>
      </c>
      <c r="N211" s="904">
        <v>4000</v>
      </c>
      <c r="O211" s="904"/>
      <c r="P211" s="904">
        <v>2400</v>
      </c>
      <c r="Q211" s="904"/>
      <c r="R211" s="904"/>
      <c r="S211" s="904"/>
      <c r="T211" s="904"/>
      <c r="U211" s="904"/>
      <c r="V211" s="904"/>
      <c r="W211" s="904"/>
      <c r="X211" s="904"/>
      <c r="Y211" s="904"/>
      <c r="Z211" s="776">
        <f t="shared" si="65"/>
        <v>0</v>
      </c>
      <c r="AA211" s="904"/>
      <c r="AB211" s="904"/>
      <c r="AC211" s="904"/>
      <c r="AD211" s="807"/>
      <c r="AE211" s="807">
        <f t="shared" si="69"/>
        <v>0</v>
      </c>
      <c r="AF211" s="904"/>
      <c r="AG211" s="905"/>
      <c r="AH211" s="905"/>
      <c r="AK211" s="747" t="s">
        <v>1980</v>
      </c>
      <c r="AL211" s="747"/>
      <c r="AM211" s="746"/>
      <c r="AN211" s="1173" t="s">
        <v>2087</v>
      </c>
      <c r="AO211" s="478" t="s">
        <v>1182</v>
      </c>
      <c r="AP211" s="802" t="s">
        <v>1193</v>
      </c>
      <c r="AQ211" s="479"/>
      <c r="AS211" s="802"/>
      <c r="AT211" s="802"/>
      <c r="AU211" s="803"/>
    </row>
    <row r="212" spans="1:51" ht="51">
      <c r="A212" s="844">
        <v>29</v>
      </c>
      <c r="B212" s="903" t="s">
        <v>2074</v>
      </c>
      <c r="C212" s="903"/>
      <c r="D212" s="903"/>
      <c r="E212" s="903"/>
      <c r="F212" s="903"/>
      <c r="G212" s="478" t="s">
        <v>9</v>
      </c>
      <c r="H212" s="804">
        <v>2019</v>
      </c>
      <c r="I212" s="804"/>
      <c r="J212" s="804">
        <v>2021</v>
      </c>
      <c r="K212" s="804"/>
      <c r="L212" s="804"/>
      <c r="M212" s="478"/>
      <c r="N212" s="904">
        <v>12500</v>
      </c>
      <c r="O212" s="904"/>
      <c r="P212" s="904">
        <v>5000</v>
      </c>
      <c r="Q212" s="904"/>
      <c r="R212" s="904"/>
      <c r="S212" s="904"/>
      <c r="T212" s="904"/>
      <c r="U212" s="904"/>
      <c r="V212" s="904"/>
      <c r="W212" s="904"/>
      <c r="X212" s="904"/>
      <c r="Y212" s="904"/>
      <c r="Z212" s="776">
        <f t="shared" si="65"/>
        <v>0</v>
      </c>
      <c r="AA212" s="904"/>
      <c r="AB212" s="904"/>
      <c r="AC212" s="904"/>
      <c r="AD212" s="807"/>
      <c r="AE212" s="807">
        <f t="shared" si="69"/>
        <v>0</v>
      </c>
      <c r="AF212" s="904"/>
      <c r="AG212" s="905"/>
      <c r="AH212" s="905"/>
      <c r="AK212" s="747" t="s">
        <v>1983</v>
      </c>
      <c r="AL212" s="747"/>
      <c r="AM212" s="746"/>
      <c r="AN212" s="1173"/>
      <c r="AO212" s="478" t="s">
        <v>1240</v>
      </c>
      <c r="AP212" s="802" t="s">
        <v>1241</v>
      </c>
      <c r="AQ212" s="479" t="s">
        <v>1242</v>
      </c>
      <c r="AS212" s="802"/>
      <c r="AT212" s="802"/>
      <c r="AU212" s="803"/>
    </row>
    <row r="213" spans="1:51" ht="38.25">
      <c r="A213" s="804">
        <v>30</v>
      </c>
      <c r="B213" s="903" t="s">
        <v>1243</v>
      </c>
      <c r="C213" s="903"/>
      <c r="D213" s="903"/>
      <c r="E213" s="903"/>
      <c r="F213" s="903"/>
      <c r="G213" s="478" t="s">
        <v>10</v>
      </c>
      <c r="H213" s="804">
        <v>2019</v>
      </c>
      <c r="I213" s="804"/>
      <c r="J213" s="804">
        <v>2021</v>
      </c>
      <c r="K213" s="804"/>
      <c r="L213" s="804"/>
      <c r="M213" s="478"/>
      <c r="N213" s="904">
        <v>4800</v>
      </c>
      <c r="O213" s="904"/>
      <c r="P213" s="904">
        <v>2880</v>
      </c>
      <c r="Q213" s="904"/>
      <c r="R213" s="904"/>
      <c r="S213" s="904"/>
      <c r="T213" s="904"/>
      <c r="U213" s="904"/>
      <c r="V213" s="904"/>
      <c r="W213" s="904"/>
      <c r="X213" s="904"/>
      <c r="Y213" s="904"/>
      <c r="Z213" s="776">
        <f t="shared" si="65"/>
        <v>0</v>
      </c>
      <c r="AA213" s="904"/>
      <c r="AB213" s="904"/>
      <c r="AC213" s="904"/>
      <c r="AD213" s="807"/>
      <c r="AE213" s="807">
        <f t="shared" si="69"/>
        <v>0</v>
      </c>
      <c r="AF213" s="905"/>
      <c r="AG213" s="905"/>
      <c r="AH213" s="905"/>
      <c r="AK213" s="747" t="s">
        <v>1976</v>
      </c>
      <c r="AL213" s="747"/>
      <c r="AM213" s="746"/>
      <c r="AN213" s="1173" t="s">
        <v>2087</v>
      </c>
      <c r="AO213" s="478" t="s">
        <v>880</v>
      </c>
      <c r="AP213" s="802" t="s">
        <v>794</v>
      </c>
      <c r="AQ213" s="479" t="s">
        <v>1244</v>
      </c>
      <c r="AS213" s="802"/>
      <c r="AT213" s="802"/>
      <c r="AU213" s="803"/>
    </row>
    <row r="214" spans="1:51" ht="38.25">
      <c r="A214" s="844">
        <v>31</v>
      </c>
      <c r="B214" s="903" t="s">
        <v>1586</v>
      </c>
      <c r="C214" s="903"/>
      <c r="D214" s="903"/>
      <c r="E214" s="903"/>
      <c r="F214" s="903"/>
      <c r="G214" s="478" t="s">
        <v>46</v>
      </c>
      <c r="H214" s="804">
        <v>2019</v>
      </c>
      <c r="I214" s="804"/>
      <c r="J214" s="804">
        <v>2021</v>
      </c>
      <c r="K214" s="804"/>
      <c r="L214" s="804"/>
      <c r="M214" s="714" t="s">
        <v>1863</v>
      </c>
      <c r="N214" s="904">
        <v>6000</v>
      </c>
      <c r="O214" s="904"/>
      <c r="P214" s="904">
        <v>3600</v>
      </c>
      <c r="Q214" s="904"/>
      <c r="R214" s="904"/>
      <c r="S214" s="904"/>
      <c r="T214" s="904"/>
      <c r="U214" s="904"/>
      <c r="V214" s="904"/>
      <c r="W214" s="904"/>
      <c r="X214" s="904"/>
      <c r="Y214" s="904"/>
      <c r="Z214" s="776">
        <f t="shared" ref="Z214:Z215" si="71">V214+Y214</f>
        <v>0</v>
      </c>
      <c r="AA214" s="904"/>
      <c r="AB214" s="904"/>
      <c r="AC214" s="904"/>
      <c r="AD214" s="807"/>
      <c r="AE214" s="807">
        <f t="shared" si="69"/>
        <v>0</v>
      </c>
      <c r="AF214" s="905"/>
      <c r="AG214" s="905"/>
      <c r="AH214" s="905"/>
      <c r="AK214" s="747" t="s">
        <v>2030</v>
      </c>
      <c r="AL214" s="747"/>
      <c r="AM214" s="746"/>
      <c r="AN214" s="1173" t="s">
        <v>2087</v>
      </c>
      <c r="AO214" s="478" t="s">
        <v>880</v>
      </c>
      <c r="AP214" s="802" t="s">
        <v>794</v>
      </c>
      <c r="AQ214" s="479" t="s">
        <v>1244</v>
      </c>
      <c r="AS214" s="802"/>
      <c r="AT214" s="802"/>
      <c r="AU214" s="803"/>
    </row>
    <row r="215" spans="1:51" s="1173" customFormat="1" ht="52.5" customHeight="1">
      <c r="A215" s="942">
        <v>32</v>
      </c>
      <c r="B215" s="943" t="s">
        <v>1822</v>
      </c>
      <c r="C215" s="943"/>
      <c r="D215" s="943"/>
      <c r="E215" s="943"/>
      <c r="F215" s="943"/>
      <c r="G215" s="944" t="s">
        <v>33</v>
      </c>
      <c r="H215" s="945">
        <v>2019</v>
      </c>
      <c r="I215" s="945"/>
      <c r="J215" s="945">
        <v>2021</v>
      </c>
      <c r="K215" s="945"/>
      <c r="L215" s="945"/>
      <c r="M215" s="945"/>
      <c r="N215" s="946">
        <v>10000</v>
      </c>
      <c r="O215" s="946"/>
      <c r="P215" s="947">
        <v>6000</v>
      </c>
      <c r="Q215" s="947"/>
      <c r="R215" s="947"/>
      <c r="S215" s="947"/>
      <c r="T215" s="947"/>
      <c r="U215" s="947"/>
      <c r="V215" s="947"/>
      <c r="W215" s="947"/>
      <c r="X215" s="947"/>
      <c r="Y215" s="947"/>
      <c r="Z215" s="776">
        <f t="shared" si="71"/>
        <v>0</v>
      </c>
      <c r="AA215" s="832"/>
      <c r="AB215" s="832"/>
      <c r="AC215" s="832"/>
      <c r="AD215" s="948">
        <f t="shared" ref="AD215" si="72">P215*0</f>
        <v>0</v>
      </c>
      <c r="AE215" s="948">
        <f t="shared" ref="AE215" si="73">AD215</f>
        <v>0</v>
      </c>
      <c r="AF215" s="832"/>
      <c r="AG215" s="832"/>
      <c r="AH215" s="949"/>
      <c r="AI215" s="1173" t="s">
        <v>1823</v>
      </c>
      <c r="AK215" s="1174" t="s">
        <v>2015</v>
      </c>
      <c r="AL215" s="1174"/>
      <c r="AM215" s="832"/>
      <c r="AN215" s="1173" t="s">
        <v>2087</v>
      </c>
      <c r="AO215" s="950" t="s">
        <v>1040</v>
      </c>
      <c r="AP215" s="951" t="s">
        <v>1546</v>
      </c>
      <c r="AQ215" s="1553"/>
      <c r="AS215" s="832"/>
      <c r="AT215" s="832"/>
      <c r="AU215" s="1554"/>
      <c r="AW215" s="1553"/>
      <c r="AX215" s="1553"/>
      <c r="AY215" s="1554"/>
    </row>
    <row r="216" spans="1:51" s="1173" customFormat="1" ht="52.5" customHeight="1">
      <c r="A216" s="942">
        <v>33</v>
      </c>
      <c r="B216" s="943" t="s">
        <v>2071</v>
      </c>
      <c r="C216" s="943"/>
      <c r="D216" s="943"/>
      <c r="E216" s="943"/>
      <c r="F216" s="943"/>
      <c r="G216" s="944" t="s">
        <v>10</v>
      </c>
      <c r="H216" s="945">
        <v>2019</v>
      </c>
      <c r="I216" s="945"/>
      <c r="J216" s="945">
        <v>2021</v>
      </c>
      <c r="K216" s="945"/>
      <c r="L216" s="945"/>
      <c r="M216" s="945"/>
      <c r="N216" s="946">
        <v>4000</v>
      </c>
      <c r="O216" s="946"/>
      <c r="P216" s="947">
        <v>2400</v>
      </c>
      <c r="Q216" s="947"/>
      <c r="R216" s="947"/>
      <c r="S216" s="947"/>
      <c r="T216" s="947"/>
      <c r="U216" s="947"/>
      <c r="V216" s="947"/>
      <c r="W216" s="947"/>
      <c r="X216" s="947"/>
      <c r="Y216" s="947"/>
      <c r="Z216" s="829"/>
      <c r="AA216" s="832"/>
      <c r="AB216" s="832"/>
      <c r="AC216" s="832"/>
      <c r="AD216" s="948">
        <f t="shared" ref="AD216:AD217" si="74">P216*0</f>
        <v>0</v>
      </c>
      <c r="AE216" s="948">
        <f t="shared" ref="AE216:AE217" si="75">AD216</f>
        <v>0</v>
      </c>
      <c r="AF216" s="832"/>
      <c r="AG216" s="832"/>
      <c r="AH216" s="949"/>
      <c r="AK216" s="1174" t="s">
        <v>1989</v>
      </c>
      <c r="AL216" s="1174"/>
      <c r="AM216" s="832" t="s">
        <v>2080</v>
      </c>
      <c r="AN216" s="1173" t="s">
        <v>2087</v>
      </c>
      <c r="AO216" s="952"/>
      <c r="AP216" s="953"/>
      <c r="AQ216" s="1553"/>
      <c r="AS216" s="1553"/>
      <c r="AT216" s="1553"/>
      <c r="AU216" s="1554"/>
      <c r="AW216" s="1553"/>
      <c r="AX216" s="1553"/>
      <c r="AY216" s="1554"/>
    </row>
    <row r="217" spans="1:51" s="1173" customFormat="1" ht="52.5" customHeight="1">
      <c r="A217" s="942">
        <v>34</v>
      </c>
      <c r="B217" s="943" t="s">
        <v>2072</v>
      </c>
      <c r="C217" s="943"/>
      <c r="D217" s="943"/>
      <c r="E217" s="943"/>
      <c r="F217" s="943"/>
      <c r="G217" s="944" t="s">
        <v>46</v>
      </c>
      <c r="H217" s="945">
        <v>2019</v>
      </c>
      <c r="I217" s="945"/>
      <c r="J217" s="945">
        <v>2021</v>
      </c>
      <c r="K217" s="945"/>
      <c r="L217" s="945"/>
      <c r="M217" s="1555" t="s">
        <v>2073</v>
      </c>
      <c r="N217" s="946">
        <v>6000</v>
      </c>
      <c r="O217" s="946"/>
      <c r="P217" s="947">
        <v>3600</v>
      </c>
      <c r="Q217" s="947"/>
      <c r="R217" s="947"/>
      <c r="S217" s="947"/>
      <c r="T217" s="947"/>
      <c r="U217" s="947"/>
      <c r="V217" s="947"/>
      <c r="W217" s="947"/>
      <c r="X217" s="947"/>
      <c r="Y217" s="947"/>
      <c r="Z217" s="829"/>
      <c r="AA217" s="832"/>
      <c r="AB217" s="832"/>
      <c r="AC217" s="832"/>
      <c r="AD217" s="948">
        <f t="shared" si="74"/>
        <v>0</v>
      </c>
      <c r="AE217" s="948">
        <f t="shared" si="75"/>
        <v>0</v>
      </c>
      <c r="AF217" s="832"/>
      <c r="AG217" s="832"/>
      <c r="AH217" s="949"/>
      <c r="AK217" s="1174" t="s">
        <v>2007</v>
      </c>
      <c r="AL217" s="1174"/>
      <c r="AM217" s="832"/>
      <c r="AN217" s="1173" t="s">
        <v>2087</v>
      </c>
      <c r="AO217" s="952"/>
      <c r="AP217" s="953"/>
      <c r="AQ217" s="1553"/>
      <c r="AS217" s="1553"/>
      <c r="AT217" s="1553"/>
      <c r="AU217" s="1554"/>
      <c r="AW217" s="1553"/>
      <c r="AX217" s="1553"/>
      <c r="AY217" s="1554"/>
    </row>
    <row r="218" spans="1:51" s="1556" customFormat="1" ht="27" customHeight="1">
      <c r="A218" s="754" t="s">
        <v>477</v>
      </c>
      <c r="B218" s="755" t="s">
        <v>561</v>
      </c>
      <c r="C218" s="754"/>
      <c r="D218" s="754"/>
      <c r="E218" s="754"/>
      <c r="F218" s="754"/>
      <c r="G218" s="754"/>
      <c r="H218" s="754"/>
      <c r="I218" s="754"/>
      <c r="J218" s="754"/>
      <c r="K218" s="754"/>
      <c r="L218" s="754"/>
      <c r="M218" s="754"/>
      <c r="N218" s="1191">
        <f t="shared" ref="N218:U218" si="76">SUBTOTAL(109,N219:N246)</f>
        <v>144745</v>
      </c>
      <c r="O218" s="1191">
        <f t="shared" si="76"/>
        <v>0</v>
      </c>
      <c r="P218" s="1191">
        <f t="shared" si="76"/>
        <v>110731</v>
      </c>
      <c r="Q218" s="1191">
        <f t="shared" si="76"/>
        <v>19931</v>
      </c>
      <c r="R218" s="1191">
        <f t="shared" si="76"/>
        <v>0</v>
      </c>
      <c r="S218" s="1191">
        <f t="shared" si="76"/>
        <v>9931</v>
      </c>
      <c r="T218" s="1191">
        <f t="shared" si="76"/>
        <v>47326</v>
      </c>
      <c r="U218" s="1191">
        <f t="shared" si="76"/>
        <v>36519.800000000003</v>
      </c>
      <c r="V218" s="1191"/>
      <c r="W218" s="1191">
        <v>16595.3</v>
      </c>
      <c r="X218" s="1191"/>
      <c r="Y218" s="1191"/>
      <c r="Z218" s="776">
        <f t="shared" si="65"/>
        <v>0</v>
      </c>
      <c r="AA218" s="1191">
        <f>SUBTOTAL(109,AA219:AA246)</f>
        <v>38151</v>
      </c>
      <c r="AB218" s="1191">
        <f>SUBTOTAL(109,AB219:AB246)</f>
        <v>18220</v>
      </c>
      <c r="AC218" s="1191">
        <f>SUBTOTAL(109,AC219:AC246)</f>
        <v>28151</v>
      </c>
      <c r="AD218" s="1191">
        <f>SUBTOTAL(109,AD219:AD246)</f>
        <v>82006</v>
      </c>
      <c r="AE218" s="1191">
        <f>SUBTOTAL(109,AE219:AE246)</f>
        <v>52979.8</v>
      </c>
      <c r="AF218" s="1191"/>
      <c r="AG218" s="1191"/>
      <c r="AH218" s="1161"/>
      <c r="AK218" s="1557"/>
      <c r="AL218" s="1557"/>
      <c r="AM218" s="1558"/>
      <c r="AN218" s="1173"/>
    </row>
    <row r="219" spans="1:51" s="1562" customFormat="1" ht="39.75" customHeight="1">
      <c r="A219" s="759" t="s">
        <v>471</v>
      </c>
      <c r="B219" s="760" t="s">
        <v>522</v>
      </c>
      <c r="C219" s="760"/>
      <c r="D219" s="760"/>
      <c r="E219" s="760"/>
      <c r="F219" s="760"/>
      <c r="G219" s="1559"/>
      <c r="H219" s="1560"/>
      <c r="I219" s="1560"/>
      <c r="J219" s="1560"/>
      <c r="K219" s="1560"/>
      <c r="L219" s="1560"/>
      <c r="M219" s="1561"/>
      <c r="N219" s="954">
        <f>SUBTOTAL(109,N220:N221)</f>
        <v>40297</v>
      </c>
      <c r="O219" s="954">
        <f t="shared" ref="O219:AE219" si="77">SUBTOTAL(109,O220:O221)</f>
        <v>0</v>
      </c>
      <c r="P219" s="954">
        <f t="shared" si="77"/>
        <v>24894</v>
      </c>
      <c r="Q219" s="954">
        <f t="shared" si="77"/>
        <v>16771</v>
      </c>
      <c r="R219" s="954">
        <f t="shared" si="77"/>
        <v>0</v>
      </c>
      <c r="S219" s="954">
        <f t="shared" si="77"/>
        <v>6771</v>
      </c>
      <c r="T219" s="954">
        <f t="shared" si="77"/>
        <v>12049</v>
      </c>
      <c r="U219" s="954">
        <f t="shared" si="77"/>
        <v>4403</v>
      </c>
      <c r="V219" s="954">
        <f t="shared" si="77"/>
        <v>4403</v>
      </c>
      <c r="W219" s="954">
        <f t="shared" si="77"/>
        <v>4403</v>
      </c>
      <c r="X219" s="954"/>
      <c r="Y219" s="954">
        <f t="shared" si="77"/>
        <v>0</v>
      </c>
      <c r="Z219" s="954">
        <f t="shared" si="77"/>
        <v>4403</v>
      </c>
      <c r="AA219" s="954">
        <f t="shared" si="77"/>
        <v>21174</v>
      </c>
      <c r="AB219" s="954">
        <f t="shared" si="77"/>
        <v>4403</v>
      </c>
      <c r="AC219" s="954">
        <f t="shared" si="77"/>
        <v>11174</v>
      </c>
      <c r="AD219" s="954">
        <f t="shared" si="77"/>
        <v>12049</v>
      </c>
      <c r="AE219" s="954">
        <f t="shared" si="77"/>
        <v>0</v>
      </c>
      <c r="AF219" s="955"/>
      <c r="AG219" s="776"/>
      <c r="AH219" s="1517"/>
      <c r="AK219" s="1563"/>
      <c r="AL219" s="1563"/>
      <c r="AM219" s="1564"/>
      <c r="AN219" s="1173"/>
    </row>
    <row r="220" spans="1:51" s="440" customFormat="1" ht="25.5">
      <c r="A220" s="777">
        <v>1</v>
      </c>
      <c r="B220" s="1565" t="s">
        <v>1059</v>
      </c>
      <c r="C220" s="1565"/>
      <c r="D220" s="1565"/>
      <c r="E220" s="1565"/>
      <c r="F220" s="1565"/>
      <c r="G220" s="1566" t="s">
        <v>9</v>
      </c>
      <c r="H220" s="358">
        <v>2017</v>
      </c>
      <c r="I220" s="358"/>
      <c r="J220" s="358">
        <v>2018</v>
      </c>
      <c r="K220" s="358"/>
      <c r="L220" s="358"/>
      <c r="M220" s="455" t="s">
        <v>535</v>
      </c>
      <c r="N220" s="1115">
        <v>7049</v>
      </c>
      <c r="O220" s="1115">
        <v>0</v>
      </c>
      <c r="P220" s="1115">
        <v>7049</v>
      </c>
      <c r="Q220" s="1115">
        <v>4000</v>
      </c>
      <c r="R220" s="1115">
        <v>0</v>
      </c>
      <c r="S220" s="1115">
        <v>4000</v>
      </c>
      <c r="T220" s="1115">
        <v>7049</v>
      </c>
      <c r="U220" s="1115">
        <v>3049</v>
      </c>
      <c r="V220" s="776">
        <f>VLOOKUP($B220,QD!$B$9:$L$316,10,0)</f>
        <v>3049</v>
      </c>
      <c r="W220" s="776">
        <v>3049</v>
      </c>
      <c r="X220" s="776">
        <v>100</v>
      </c>
      <c r="Y220" s="1116"/>
      <c r="Z220" s="776">
        <f t="shared" si="65"/>
        <v>3049</v>
      </c>
      <c r="AA220" s="775">
        <f t="shared" ref="AA220" si="78">Q220+$Z220</f>
        <v>7049</v>
      </c>
      <c r="AB220" s="775">
        <f t="shared" ref="AB220" si="79">R220+$Z220</f>
        <v>3049</v>
      </c>
      <c r="AC220" s="775">
        <f t="shared" ref="AC220" si="80">S220+$Z220</f>
        <v>7049</v>
      </c>
      <c r="AD220" s="775">
        <f t="shared" ref="AD220" si="81">T220</f>
        <v>7049</v>
      </c>
      <c r="AE220" s="775">
        <f t="shared" ref="AE220" si="82">U220-Z220</f>
        <v>0</v>
      </c>
      <c r="AF220" s="1116"/>
      <c r="AG220" s="776"/>
      <c r="AH220" s="1546"/>
      <c r="AK220" s="1326"/>
      <c r="AL220" s="1326"/>
      <c r="AM220" s="1327"/>
      <c r="AN220" s="1173" t="s">
        <v>2087</v>
      </c>
    </row>
    <row r="221" spans="1:51" s="440" customFormat="1" ht="25.5">
      <c r="A221" s="777">
        <v>2</v>
      </c>
      <c r="B221" s="1565" t="s">
        <v>18</v>
      </c>
      <c r="C221" s="1565"/>
      <c r="D221" s="1565"/>
      <c r="E221" s="1565"/>
      <c r="F221" s="1565"/>
      <c r="G221" s="1567" t="s">
        <v>33</v>
      </c>
      <c r="H221" s="358">
        <v>2015</v>
      </c>
      <c r="I221" s="358"/>
      <c r="J221" s="358">
        <v>2018</v>
      </c>
      <c r="K221" s="358"/>
      <c r="L221" s="358"/>
      <c r="M221" s="455" t="s">
        <v>19</v>
      </c>
      <c r="N221" s="1115">
        <v>33248</v>
      </c>
      <c r="O221" s="1115">
        <v>0</v>
      </c>
      <c r="P221" s="1115">
        <v>17845</v>
      </c>
      <c r="Q221" s="1115">
        <v>12771</v>
      </c>
      <c r="R221" s="1115">
        <v>0</v>
      </c>
      <c r="S221" s="1115">
        <v>2771</v>
      </c>
      <c r="T221" s="1115">
        <v>5000</v>
      </c>
      <c r="U221" s="1115">
        <v>1354</v>
      </c>
      <c r="V221" s="776">
        <f>VLOOKUP($B221,QD!$B$9:$L$316,10,0)</f>
        <v>1354</v>
      </c>
      <c r="W221" s="776">
        <v>1354</v>
      </c>
      <c r="X221" s="776">
        <v>100</v>
      </c>
      <c r="Y221" s="1116"/>
      <c r="Z221" s="776">
        <f t="shared" si="65"/>
        <v>1354</v>
      </c>
      <c r="AA221" s="775">
        <f t="shared" ref="AA221" si="83">Q221+$Z221</f>
        <v>14125</v>
      </c>
      <c r="AB221" s="775">
        <f t="shared" ref="AB221" si="84">R221+$Z221</f>
        <v>1354</v>
      </c>
      <c r="AC221" s="775">
        <f t="shared" ref="AC221" si="85">S221+$Z221</f>
        <v>4125</v>
      </c>
      <c r="AD221" s="775">
        <f t="shared" ref="AD221" si="86">T221</f>
        <v>5000</v>
      </c>
      <c r="AE221" s="775">
        <f t="shared" ref="AE221" si="87">U221-Z221</f>
        <v>0</v>
      </c>
      <c r="AF221" s="1116"/>
      <c r="AG221" s="782"/>
      <c r="AH221" s="1568"/>
      <c r="AK221" s="1326"/>
      <c r="AL221" s="1326"/>
      <c r="AM221" s="1327"/>
      <c r="AN221" s="1173" t="s">
        <v>2087</v>
      </c>
    </row>
    <row r="222" spans="1:51" s="1571" customFormat="1" ht="36" customHeight="1">
      <c r="A222" s="759" t="s">
        <v>472</v>
      </c>
      <c r="B222" s="783" t="s">
        <v>525</v>
      </c>
      <c r="C222" s="783"/>
      <c r="D222" s="783"/>
      <c r="E222" s="783"/>
      <c r="F222" s="783"/>
      <c r="G222" s="1569"/>
      <c r="H222" s="773"/>
      <c r="I222" s="773"/>
      <c r="J222" s="773"/>
      <c r="K222" s="773"/>
      <c r="L222" s="773"/>
      <c r="M222" s="1570"/>
      <c r="N222" s="954">
        <f t="shared" ref="N222:AE222" si="88">SUBTOTAL(109,N223:N224)</f>
        <v>11675</v>
      </c>
      <c r="O222" s="954">
        <f t="shared" si="88"/>
        <v>0</v>
      </c>
      <c r="P222" s="954">
        <f t="shared" si="88"/>
        <v>11675</v>
      </c>
      <c r="Q222" s="954">
        <f t="shared" si="88"/>
        <v>3000</v>
      </c>
      <c r="R222" s="954">
        <f t="shared" si="88"/>
        <v>0</v>
      </c>
      <c r="S222" s="954">
        <f t="shared" si="88"/>
        <v>3000</v>
      </c>
      <c r="T222" s="954">
        <f t="shared" si="88"/>
        <v>10551</v>
      </c>
      <c r="U222" s="954">
        <f t="shared" si="88"/>
        <v>7551</v>
      </c>
      <c r="V222" s="954">
        <f t="shared" si="88"/>
        <v>3776</v>
      </c>
      <c r="W222" s="954">
        <f t="shared" si="88"/>
        <v>3775.5</v>
      </c>
      <c r="X222" s="954"/>
      <c r="Y222" s="954">
        <f t="shared" si="88"/>
        <v>1625</v>
      </c>
      <c r="Z222" s="954">
        <f t="shared" si="88"/>
        <v>5401</v>
      </c>
      <c r="AA222" s="954">
        <f t="shared" si="88"/>
        <v>8401</v>
      </c>
      <c r="AB222" s="954">
        <f t="shared" si="88"/>
        <v>5401</v>
      </c>
      <c r="AC222" s="954">
        <f t="shared" si="88"/>
        <v>8401</v>
      </c>
      <c r="AD222" s="954">
        <f t="shared" si="88"/>
        <v>10551</v>
      </c>
      <c r="AE222" s="954">
        <f t="shared" si="88"/>
        <v>2150</v>
      </c>
      <c r="AF222" s="955"/>
      <c r="AG222" s="776"/>
      <c r="AH222" s="1209"/>
      <c r="AK222" s="1572"/>
      <c r="AL222" s="1572"/>
      <c r="AM222" s="1573"/>
      <c r="AN222" s="1173" t="s">
        <v>2087</v>
      </c>
    </row>
    <row r="223" spans="1:51" s="1571" customFormat="1" ht="63.75">
      <c r="A223" s="768">
        <v>1</v>
      </c>
      <c r="B223" s="1574" t="s">
        <v>20</v>
      </c>
      <c r="C223" s="1574"/>
      <c r="D223" s="1574"/>
      <c r="E223" s="1574"/>
      <c r="F223" s="1574"/>
      <c r="G223" s="1569" t="s">
        <v>10</v>
      </c>
      <c r="H223" s="773">
        <v>2017</v>
      </c>
      <c r="I223" s="773"/>
      <c r="J223" s="773">
        <v>2019</v>
      </c>
      <c r="K223" s="773"/>
      <c r="L223" s="773"/>
      <c r="M223" s="1575" t="s">
        <v>21</v>
      </c>
      <c r="N223" s="1576">
        <v>6612</v>
      </c>
      <c r="O223" s="1576">
        <v>0</v>
      </c>
      <c r="P223" s="1576">
        <v>6612</v>
      </c>
      <c r="Q223" s="1576">
        <v>1650</v>
      </c>
      <c r="R223" s="1576">
        <v>0</v>
      </c>
      <c r="S223" s="1576">
        <v>1650</v>
      </c>
      <c r="T223" s="1576">
        <v>5951</v>
      </c>
      <c r="U223" s="1576">
        <v>4301</v>
      </c>
      <c r="V223" s="776">
        <f>VLOOKUP($B223,QD!$B$9:$L$316,10,0)</f>
        <v>2151</v>
      </c>
      <c r="W223" s="776">
        <v>2150.5</v>
      </c>
      <c r="X223" s="776">
        <v>50</v>
      </c>
      <c r="Y223" s="1577"/>
      <c r="Z223" s="776">
        <f t="shared" si="65"/>
        <v>2151</v>
      </c>
      <c r="AA223" s="775">
        <f t="shared" ref="AA223" si="89">Q223+$Z223</f>
        <v>3801</v>
      </c>
      <c r="AB223" s="775">
        <f t="shared" ref="AB223" si="90">R223+$Z223</f>
        <v>2151</v>
      </c>
      <c r="AC223" s="775">
        <f t="shared" ref="AC223" si="91">S223+$Z223</f>
        <v>3801</v>
      </c>
      <c r="AD223" s="775">
        <f t="shared" ref="AD223" si="92">T223</f>
        <v>5951</v>
      </c>
      <c r="AE223" s="775">
        <f t="shared" ref="AE223" si="93">U223-Z223</f>
        <v>2150</v>
      </c>
      <c r="AF223" s="1577"/>
      <c r="AG223" s="776"/>
      <c r="AH223" s="1209"/>
      <c r="AK223" s="1572" t="s">
        <v>1979</v>
      </c>
      <c r="AL223" s="1572"/>
      <c r="AM223" s="1573"/>
      <c r="AN223" s="1173" t="s">
        <v>2087</v>
      </c>
    </row>
    <row r="224" spans="1:51" s="1571" customFormat="1" ht="51.75" customHeight="1">
      <c r="A224" s="768">
        <v>2</v>
      </c>
      <c r="B224" s="769" t="s">
        <v>22</v>
      </c>
      <c r="C224" s="769"/>
      <c r="D224" s="769"/>
      <c r="E224" s="769"/>
      <c r="F224" s="769"/>
      <c r="G224" s="1569" t="s">
        <v>10</v>
      </c>
      <c r="H224" s="773">
        <v>2017</v>
      </c>
      <c r="I224" s="773"/>
      <c r="J224" s="773">
        <v>2019</v>
      </c>
      <c r="K224" s="773"/>
      <c r="L224" s="773"/>
      <c r="M224" s="1570" t="s">
        <v>23</v>
      </c>
      <c r="N224" s="1576">
        <v>5063</v>
      </c>
      <c r="O224" s="1576">
        <v>0</v>
      </c>
      <c r="P224" s="1576">
        <v>5063</v>
      </c>
      <c r="Q224" s="1576">
        <v>1350</v>
      </c>
      <c r="R224" s="1576">
        <v>0</v>
      </c>
      <c r="S224" s="1576">
        <v>1350</v>
      </c>
      <c r="T224" s="1576">
        <v>4600</v>
      </c>
      <c r="U224" s="1576">
        <v>3250</v>
      </c>
      <c r="V224" s="776">
        <f>VLOOKUP($B224,QD!$B$9:$L$316,10,0)</f>
        <v>1625</v>
      </c>
      <c r="W224" s="776">
        <v>1625</v>
      </c>
      <c r="X224" s="776">
        <v>50</v>
      </c>
      <c r="Y224" s="776">
        <v>1625</v>
      </c>
      <c r="Z224" s="776">
        <f t="shared" si="65"/>
        <v>3250</v>
      </c>
      <c r="AA224" s="775">
        <f t="shared" ref="AA224" si="94">Q224+$Z224</f>
        <v>4600</v>
      </c>
      <c r="AB224" s="775">
        <f t="shared" ref="AB224" si="95">R224+$Z224</f>
        <v>3250</v>
      </c>
      <c r="AC224" s="775">
        <f t="shared" ref="AC224" si="96">S224+$Z224</f>
        <v>4600</v>
      </c>
      <c r="AD224" s="775">
        <f t="shared" ref="AD224" si="97">T224</f>
        <v>4600</v>
      </c>
      <c r="AE224" s="775">
        <f t="shared" ref="AE224" si="98">U224-Z224</f>
        <v>0</v>
      </c>
      <c r="AF224" s="1577"/>
      <c r="AG224" s="776"/>
      <c r="AH224" s="1209"/>
      <c r="AK224" s="1572"/>
      <c r="AL224" s="1572"/>
      <c r="AM224" s="1573"/>
      <c r="AN224" s="1173" t="s">
        <v>2087</v>
      </c>
    </row>
    <row r="225" spans="1:47" s="1562" customFormat="1" ht="34.5" customHeight="1">
      <c r="A225" s="759" t="s">
        <v>477</v>
      </c>
      <c r="B225" s="783" t="s">
        <v>524</v>
      </c>
      <c r="C225" s="783"/>
      <c r="D225" s="783"/>
      <c r="E225" s="783"/>
      <c r="F225" s="783"/>
      <c r="G225" s="1559"/>
      <c r="H225" s="764"/>
      <c r="I225" s="764"/>
      <c r="J225" s="764"/>
      <c r="K225" s="764"/>
      <c r="L225" s="764"/>
      <c r="M225" s="1578"/>
      <c r="N225" s="954">
        <f>SUBTOTAL(109,N226:N231)</f>
        <v>34391</v>
      </c>
      <c r="O225" s="954">
        <f t="shared" ref="O225:AE225" si="99">SUBTOTAL(109,O226:O231)</f>
        <v>0</v>
      </c>
      <c r="P225" s="954">
        <f t="shared" si="99"/>
        <v>27362</v>
      </c>
      <c r="Q225" s="954">
        <f t="shared" si="99"/>
        <v>160</v>
      </c>
      <c r="R225" s="954">
        <f t="shared" si="99"/>
        <v>0</v>
      </c>
      <c r="S225" s="954">
        <f t="shared" si="99"/>
        <v>160</v>
      </c>
      <c r="T225" s="954">
        <f t="shared" si="99"/>
        <v>24726</v>
      </c>
      <c r="U225" s="954">
        <f t="shared" si="99"/>
        <v>24565.8</v>
      </c>
      <c r="V225" s="954">
        <f t="shared" si="99"/>
        <v>8416</v>
      </c>
      <c r="W225" s="954">
        <f t="shared" si="99"/>
        <v>8416.7999999999993</v>
      </c>
      <c r="X225" s="954"/>
      <c r="Y225" s="954">
        <f t="shared" si="99"/>
        <v>0</v>
      </c>
      <c r="Z225" s="954">
        <f t="shared" si="99"/>
        <v>8416</v>
      </c>
      <c r="AA225" s="954">
        <f t="shared" si="99"/>
        <v>8576</v>
      </c>
      <c r="AB225" s="954">
        <f t="shared" si="99"/>
        <v>8416</v>
      </c>
      <c r="AC225" s="954">
        <f t="shared" si="99"/>
        <v>8576</v>
      </c>
      <c r="AD225" s="954">
        <f t="shared" si="99"/>
        <v>24726</v>
      </c>
      <c r="AE225" s="954">
        <f t="shared" si="99"/>
        <v>16149.8</v>
      </c>
      <c r="AF225" s="955"/>
      <c r="AG225" s="776"/>
      <c r="AH225" s="1579"/>
      <c r="AK225" s="1563"/>
      <c r="AL225" s="1563"/>
      <c r="AM225" s="1564"/>
      <c r="AN225" s="1173" t="s">
        <v>2087</v>
      </c>
    </row>
    <row r="226" spans="1:47" s="1571" customFormat="1" ht="48" customHeight="1">
      <c r="A226" s="768">
        <v>1</v>
      </c>
      <c r="B226" s="1580" t="s">
        <v>1071</v>
      </c>
      <c r="C226" s="1580"/>
      <c r="D226" s="1580"/>
      <c r="E226" s="1580"/>
      <c r="F226" s="1580"/>
      <c r="G226" s="1569" t="s">
        <v>9</v>
      </c>
      <c r="H226" s="773">
        <v>2018</v>
      </c>
      <c r="I226" s="773"/>
      <c r="J226" s="773">
        <v>2020</v>
      </c>
      <c r="K226" s="773"/>
      <c r="L226" s="773"/>
      <c r="M226" s="810" t="s">
        <v>743</v>
      </c>
      <c r="N226" s="1576">
        <v>4200</v>
      </c>
      <c r="O226" s="1576">
        <v>0</v>
      </c>
      <c r="P226" s="1576">
        <v>4200</v>
      </c>
      <c r="Q226" s="1576">
        <v>40</v>
      </c>
      <c r="R226" s="1576"/>
      <c r="S226" s="1576">
        <v>40</v>
      </c>
      <c r="T226" s="1576">
        <v>3780</v>
      </c>
      <c r="U226" s="1576">
        <f>T226-Q226</f>
        <v>3740</v>
      </c>
      <c r="V226" s="776">
        <f>VLOOKUP($B226,QD!$B$9:$L$316,10,0)</f>
        <v>1122</v>
      </c>
      <c r="W226" s="776">
        <v>1122</v>
      </c>
      <c r="X226" s="776">
        <v>30</v>
      </c>
      <c r="Y226" s="1577"/>
      <c r="Z226" s="776">
        <f t="shared" si="65"/>
        <v>1122</v>
      </c>
      <c r="AA226" s="775">
        <f t="shared" ref="AA226" si="100">Q226+$Z226</f>
        <v>1162</v>
      </c>
      <c r="AB226" s="775">
        <f t="shared" ref="AB226" si="101">R226+$Z226</f>
        <v>1122</v>
      </c>
      <c r="AC226" s="775">
        <f t="shared" ref="AC226" si="102">S226+$Z226</f>
        <v>1162</v>
      </c>
      <c r="AD226" s="775">
        <f t="shared" ref="AD226" si="103">T226</f>
        <v>3780</v>
      </c>
      <c r="AE226" s="775">
        <f t="shared" ref="AE226" si="104">U226-Z226</f>
        <v>2618</v>
      </c>
      <c r="AF226" s="1577"/>
      <c r="AG226" s="776"/>
      <c r="AH226" s="1581" t="s">
        <v>770</v>
      </c>
      <c r="AK226" s="1572" t="s">
        <v>1983</v>
      </c>
      <c r="AL226" s="1572"/>
      <c r="AM226" s="1573"/>
      <c r="AN226" s="1173"/>
    </row>
    <row r="227" spans="1:47" s="1571" customFormat="1" ht="45" customHeight="1">
      <c r="A227" s="768">
        <v>2</v>
      </c>
      <c r="B227" s="1582" t="s">
        <v>540</v>
      </c>
      <c r="C227" s="1582"/>
      <c r="D227" s="1582"/>
      <c r="E227" s="1582"/>
      <c r="F227" s="1582"/>
      <c r="G227" s="1569" t="s">
        <v>46</v>
      </c>
      <c r="H227" s="773">
        <v>2018</v>
      </c>
      <c r="I227" s="773"/>
      <c r="J227" s="773">
        <v>2020</v>
      </c>
      <c r="K227" s="773"/>
      <c r="L227" s="773"/>
      <c r="M227" s="774" t="s">
        <v>781</v>
      </c>
      <c r="N227" s="1576">
        <v>5000</v>
      </c>
      <c r="O227" s="1576">
        <v>0</v>
      </c>
      <c r="P227" s="1576">
        <v>5000</v>
      </c>
      <c r="Q227" s="1576">
        <v>60</v>
      </c>
      <c r="R227" s="1576">
        <v>0</v>
      </c>
      <c r="S227" s="1576">
        <v>60</v>
      </c>
      <c r="T227" s="1576">
        <v>4500</v>
      </c>
      <c r="U227" s="1576">
        <f>T227-Q227</f>
        <v>4440</v>
      </c>
      <c r="V227" s="776">
        <f>VLOOKUP($B227,QD!$B$9:$L$316,10,0)</f>
        <v>1332</v>
      </c>
      <c r="W227" s="776">
        <v>1332</v>
      </c>
      <c r="X227" s="776">
        <v>30</v>
      </c>
      <c r="Y227" s="1577"/>
      <c r="Z227" s="776">
        <f t="shared" si="65"/>
        <v>1332</v>
      </c>
      <c r="AA227" s="775">
        <f t="shared" ref="AA227:AA231" si="105">Q227+$Z227</f>
        <v>1392</v>
      </c>
      <c r="AB227" s="775">
        <f t="shared" ref="AB227:AB231" si="106">R227+$Z227</f>
        <v>1332</v>
      </c>
      <c r="AC227" s="775">
        <f t="shared" ref="AC227:AC231" si="107">S227+$Z227</f>
        <v>1392</v>
      </c>
      <c r="AD227" s="775">
        <f t="shared" ref="AD227:AD231" si="108">T227</f>
        <v>4500</v>
      </c>
      <c r="AE227" s="775">
        <f t="shared" ref="AE227:AE231" si="109">U227-Z227</f>
        <v>3108</v>
      </c>
      <c r="AF227" s="1577"/>
      <c r="AG227" s="776"/>
      <c r="AH227" s="1209"/>
      <c r="AI227" s="1571" t="s">
        <v>782</v>
      </c>
      <c r="AK227" s="1572" t="s">
        <v>2040</v>
      </c>
      <c r="AL227" s="1572"/>
      <c r="AM227" s="1573"/>
      <c r="AN227" s="1173"/>
    </row>
    <row r="228" spans="1:47" s="1586" customFormat="1" ht="36" hidden="1" customHeight="1">
      <c r="A228" s="1117">
        <v>3</v>
      </c>
      <c r="B228" s="1583" t="s">
        <v>1588</v>
      </c>
      <c r="C228" s="1583"/>
      <c r="D228" s="1583"/>
      <c r="E228" s="1583"/>
      <c r="F228" s="1583"/>
      <c r="G228" s="1584" t="s">
        <v>17</v>
      </c>
      <c r="H228" s="1122">
        <v>2018</v>
      </c>
      <c r="I228" s="1122"/>
      <c r="J228" s="1122">
        <v>2020</v>
      </c>
      <c r="K228" s="1122"/>
      <c r="L228" s="1122"/>
      <c r="M228" s="1585"/>
      <c r="N228" s="1125"/>
      <c r="O228" s="1125"/>
      <c r="P228" s="1125"/>
      <c r="Q228" s="1125"/>
      <c r="R228" s="1125"/>
      <c r="S228" s="1125"/>
      <c r="T228" s="1125"/>
      <c r="U228" s="1576">
        <f>T228-Q228</f>
        <v>0</v>
      </c>
      <c r="V228" s="776" t="e">
        <f>VLOOKUP($B228,QD!$B$9:$L$316,10,0)</f>
        <v>#N/A</v>
      </c>
      <c r="W228" s="776" t="e">
        <v>#N/A</v>
      </c>
      <c r="X228" s="776" t="e">
        <v>#N/A</v>
      </c>
      <c r="Y228" s="1126"/>
      <c r="Z228" s="776" t="e">
        <f t="shared" si="65"/>
        <v>#N/A</v>
      </c>
      <c r="AA228" s="775" t="e">
        <f t="shared" si="105"/>
        <v>#N/A</v>
      </c>
      <c r="AB228" s="775" t="e">
        <f t="shared" si="106"/>
        <v>#N/A</v>
      </c>
      <c r="AC228" s="775" t="e">
        <f t="shared" si="107"/>
        <v>#N/A</v>
      </c>
      <c r="AD228" s="775">
        <f t="shared" si="108"/>
        <v>0</v>
      </c>
      <c r="AE228" s="775" t="e">
        <f t="shared" si="109"/>
        <v>#N/A</v>
      </c>
      <c r="AF228" s="1126"/>
      <c r="AG228" s="776"/>
      <c r="AH228" s="1583" t="s">
        <v>541</v>
      </c>
      <c r="AK228" s="1587"/>
      <c r="AL228" s="1587"/>
      <c r="AM228" s="1588"/>
      <c r="AN228" s="1173" t="s">
        <v>2087</v>
      </c>
    </row>
    <row r="229" spans="1:47" s="1571" customFormat="1" ht="36" customHeight="1">
      <c r="A229" s="768">
        <v>4</v>
      </c>
      <c r="B229" s="1589" t="s">
        <v>1069</v>
      </c>
      <c r="C229" s="1589"/>
      <c r="D229" s="1589"/>
      <c r="E229" s="1589"/>
      <c r="F229" s="1589"/>
      <c r="G229" s="1569" t="s">
        <v>33</v>
      </c>
      <c r="H229" s="773">
        <v>2018</v>
      </c>
      <c r="I229" s="773"/>
      <c r="J229" s="773">
        <v>2020</v>
      </c>
      <c r="K229" s="773"/>
      <c r="L229" s="773"/>
      <c r="M229" s="774" t="s">
        <v>768</v>
      </c>
      <c r="N229" s="1576">
        <v>5500</v>
      </c>
      <c r="O229" s="1576">
        <v>0</v>
      </c>
      <c r="P229" s="1576">
        <v>5500</v>
      </c>
      <c r="Q229" s="1576">
        <v>60</v>
      </c>
      <c r="R229" s="1576">
        <v>0</v>
      </c>
      <c r="S229" s="1576">
        <v>60</v>
      </c>
      <c r="T229" s="1576">
        <v>4950</v>
      </c>
      <c r="U229" s="1576">
        <f>T229-Q229</f>
        <v>4890</v>
      </c>
      <c r="V229" s="776">
        <f>VLOOKUP($B229,QD!$B$9:$L$316,10,0)</f>
        <v>1467</v>
      </c>
      <c r="W229" s="776">
        <v>1467</v>
      </c>
      <c r="X229" s="776">
        <v>30</v>
      </c>
      <c r="Y229" s="1577"/>
      <c r="Z229" s="776">
        <f t="shared" si="65"/>
        <v>1467</v>
      </c>
      <c r="AA229" s="775">
        <f t="shared" si="105"/>
        <v>1527</v>
      </c>
      <c r="AB229" s="775">
        <f t="shared" si="106"/>
        <v>1467</v>
      </c>
      <c r="AC229" s="775">
        <f t="shared" si="107"/>
        <v>1527</v>
      </c>
      <c r="AD229" s="775">
        <f t="shared" si="108"/>
        <v>4950</v>
      </c>
      <c r="AE229" s="775">
        <f t="shared" si="109"/>
        <v>3423</v>
      </c>
      <c r="AF229" s="1577"/>
      <c r="AG229" s="776"/>
      <c r="AH229" s="1581" t="s">
        <v>770</v>
      </c>
      <c r="AK229" s="1572" t="s">
        <v>2033</v>
      </c>
      <c r="AL229" s="1572"/>
      <c r="AM229" s="1573"/>
      <c r="AN229" s="1173"/>
    </row>
    <row r="230" spans="1:47" ht="25.5">
      <c r="A230" s="423">
        <v>5</v>
      </c>
      <c r="B230" s="1589" t="s">
        <v>928</v>
      </c>
      <c r="C230" s="956"/>
      <c r="D230" s="956"/>
      <c r="E230" s="956"/>
      <c r="F230" s="956"/>
      <c r="G230" s="423" t="s">
        <v>26</v>
      </c>
      <c r="H230" s="791">
        <v>2018</v>
      </c>
      <c r="I230" s="791"/>
      <c r="J230" s="792">
        <v>2020</v>
      </c>
      <c r="K230" s="792"/>
      <c r="L230" s="792"/>
      <c r="M230" s="1570" t="s">
        <v>528</v>
      </c>
      <c r="N230" s="957">
        <v>1662</v>
      </c>
      <c r="O230" s="957"/>
      <c r="P230" s="957">
        <v>1662</v>
      </c>
      <c r="Q230" s="957"/>
      <c r="R230" s="957"/>
      <c r="S230" s="957"/>
      <c r="T230" s="957">
        <v>1496</v>
      </c>
      <c r="U230" s="957">
        <f>P230*0.9</f>
        <v>1495.8</v>
      </c>
      <c r="V230" s="776">
        <f>VLOOKUP($B230,QD!$B$9:$L$316,10,0)</f>
        <v>1495</v>
      </c>
      <c r="W230" s="776">
        <v>1495.8</v>
      </c>
      <c r="X230" s="776">
        <v>100</v>
      </c>
      <c r="Y230" s="1577"/>
      <c r="Z230" s="776">
        <f t="shared" ref="Z230:Z301" si="110">V230+Y230</f>
        <v>1495</v>
      </c>
      <c r="AA230" s="775">
        <f t="shared" si="105"/>
        <v>1495</v>
      </c>
      <c r="AB230" s="775">
        <f t="shared" si="106"/>
        <v>1495</v>
      </c>
      <c r="AC230" s="775">
        <f t="shared" si="107"/>
        <v>1495</v>
      </c>
      <c r="AD230" s="775">
        <f t="shared" si="108"/>
        <v>1496</v>
      </c>
      <c r="AE230" s="775">
        <f t="shared" si="109"/>
        <v>0.79999999999995453</v>
      </c>
      <c r="AF230" s="1577"/>
      <c r="AG230" s="776"/>
      <c r="AH230" s="1590"/>
      <c r="AK230" s="747"/>
      <c r="AL230" s="747"/>
      <c r="AM230" s="746"/>
      <c r="AN230" s="1173"/>
    </row>
    <row r="231" spans="1:47" ht="25.5">
      <c r="A231" s="423">
        <v>6</v>
      </c>
      <c r="B231" s="1589" t="s">
        <v>1066</v>
      </c>
      <c r="C231" s="790"/>
      <c r="D231" s="790"/>
      <c r="E231" s="790"/>
      <c r="F231" s="790"/>
      <c r="G231" s="185" t="s">
        <v>49</v>
      </c>
      <c r="H231" s="791">
        <v>2018</v>
      </c>
      <c r="I231" s="791"/>
      <c r="J231" s="792">
        <v>2020</v>
      </c>
      <c r="K231" s="792"/>
      <c r="L231" s="792"/>
      <c r="M231" s="136" t="s">
        <v>769</v>
      </c>
      <c r="N231" s="796">
        <v>18029</v>
      </c>
      <c r="O231" s="796"/>
      <c r="P231" s="957">
        <v>11000</v>
      </c>
      <c r="Q231" s="796"/>
      <c r="R231" s="796"/>
      <c r="S231" s="796"/>
      <c r="T231" s="796">
        <v>10000</v>
      </c>
      <c r="U231" s="796">
        <v>10000</v>
      </c>
      <c r="V231" s="776">
        <f>VLOOKUP($B231,QD!$B$9:$L$316,10,0)</f>
        <v>3000</v>
      </c>
      <c r="W231" s="776">
        <v>3000</v>
      </c>
      <c r="X231" s="776">
        <v>30</v>
      </c>
      <c r="Y231" s="1577"/>
      <c r="Z231" s="776">
        <f t="shared" si="110"/>
        <v>3000</v>
      </c>
      <c r="AA231" s="775">
        <f t="shared" si="105"/>
        <v>3000</v>
      </c>
      <c r="AB231" s="775">
        <f t="shared" si="106"/>
        <v>3000</v>
      </c>
      <c r="AC231" s="775">
        <f t="shared" si="107"/>
        <v>3000</v>
      </c>
      <c r="AD231" s="775">
        <f t="shared" si="108"/>
        <v>10000</v>
      </c>
      <c r="AE231" s="775">
        <f t="shared" si="109"/>
        <v>7000</v>
      </c>
      <c r="AF231" s="1577"/>
      <c r="AG231" s="776"/>
      <c r="AH231" s="1581" t="s">
        <v>770</v>
      </c>
      <c r="AK231" s="747" t="s">
        <v>2003</v>
      </c>
      <c r="AL231" s="747"/>
      <c r="AM231" s="746"/>
      <c r="AN231" s="1173"/>
    </row>
    <row r="232" spans="1:47" ht="25.5" customHeight="1">
      <c r="A232" s="797" t="s">
        <v>562</v>
      </c>
      <c r="B232" s="798" t="s">
        <v>1287</v>
      </c>
      <c r="C232" s="798"/>
      <c r="D232" s="798"/>
      <c r="E232" s="798"/>
      <c r="F232" s="798"/>
      <c r="G232" s="715"/>
      <c r="H232" s="715"/>
      <c r="I232" s="715"/>
      <c r="J232" s="715"/>
      <c r="K232" s="715"/>
      <c r="L232" s="715"/>
      <c r="M232" s="715"/>
      <c r="N232" s="958">
        <f t="shared" ref="N232:AC232" si="111">SUBTOTAL(109,N233:N245)</f>
        <v>58382</v>
      </c>
      <c r="O232" s="958">
        <f t="shared" si="111"/>
        <v>0</v>
      </c>
      <c r="P232" s="958">
        <f t="shared" si="111"/>
        <v>46800</v>
      </c>
      <c r="Q232" s="958">
        <f t="shared" si="111"/>
        <v>0</v>
      </c>
      <c r="R232" s="958">
        <f t="shared" si="111"/>
        <v>0</v>
      </c>
      <c r="S232" s="958">
        <f t="shared" si="111"/>
        <v>0</v>
      </c>
      <c r="T232" s="958">
        <f t="shared" si="111"/>
        <v>0</v>
      </c>
      <c r="U232" s="958">
        <f t="shared" si="111"/>
        <v>0</v>
      </c>
      <c r="V232" s="958">
        <f t="shared" si="111"/>
        <v>0</v>
      </c>
      <c r="W232" s="958">
        <f t="shared" si="111"/>
        <v>0</v>
      </c>
      <c r="X232" s="958">
        <f t="shared" si="111"/>
        <v>0</v>
      </c>
      <c r="Y232" s="958">
        <f t="shared" si="111"/>
        <v>0</v>
      </c>
      <c r="Z232" s="958">
        <f t="shared" si="111"/>
        <v>0</v>
      </c>
      <c r="AA232" s="958">
        <f t="shared" si="111"/>
        <v>0</v>
      </c>
      <c r="AB232" s="958">
        <f t="shared" si="111"/>
        <v>0</v>
      </c>
      <c r="AC232" s="958">
        <f t="shared" si="111"/>
        <v>0</v>
      </c>
      <c r="AD232" s="958">
        <f>SUBTOTAL(109,AD233:AD245)</f>
        <v>34680</v>
      </c>
      <c r="AE232" s="958">
        <f>SUBTOTAL(109,AE233:AE245)</f>
        <v>34680</v>
      </c>
      <c r="AF232" s="958"/>
      <c r="AG232" s="959"/>
      <c r="AH232" s="960"/>
      <c r="AK232" s="747"/>
      <c r="AL232" s="747"/>
      <c r="AM232" s="746"/>
      <c r="AN232" s="1173"/>
      <c r="AO232" s="959"/>
      <c r="AP232" s="802"/>
      <c r="AQ232" s="716"/>
      <c r="AS232" s="802"/>
      <c r="AT232" s="802"/>
      <c r="AU232" s="803"/>
    </row>
    <row r="233" spans="1:47" s="922" customFormat="1" ht="32.25" customHeight="1">
      <c r="A233" s="879" t="s">
        <v>821</v>
      </c>
      <c r="B233" s="961" t="s">
        <v>1614</v>
      </c>
      <c r="C233" s="961"/>
      <c r="D233" s="961"/>
      <c r="E233" s="961"/>
      <c r="F233" s="961"/>
      <c r="G233" s="920"/>
      <c r="H233" s="920"/>
      <c r="I233" s="920"/>
      <c r="J233" s="920"/>
      <c r="K233" s="920"/>
      <c r="L233" s="920"/>
      <c r="M233" s="920"/>
      <c r="N233" s="962"/>
      <c r="O233" s="962"/>
      <c r="P233" s="962"/>
      <c r="Q233" s="962"/>
      <c r="R233" s="962"/>
      <c r="S233" s="962"/>
      <c r="T233" s="962"/>
      <c r="U233" s="962"/>
      <c r="V233" s="962"/>
      <c r="W233" s="962"/>
      <c r="X233" s="962"/>
      <c r="Y233" s="962"/>
      <c r="Z233" s="963"/>
      <c r="AA233" s="962"/>
      <c r="AB233" s="962"/>
      <c r="AC233" s="962"/>
      <c r="AD233" s="962"/>
      <c r="AE233" s="962"/>
      <c r="AF233" s="962"/>
      <c r="AG233" s="964"/>
      <c r="AH233" s="965"/>
      <c r="AK233" s="923"/>
      <c r="AL233" s="923"/>
      <c r="AM233" s="924"/>
      <c r="AN233" s="1173"/>
      <c r="AO233" s="964"/>
      <c r="AP233" s="925"/>
      <c r="AQ233" s="966"/>
      <c r="AS233" s="925"/>
      <c r="AT233" s="925"/>
      <c r="AU233" s="927"/>
    </row>
    <row r="234" spans="1:47" ht="102">
      <c r="A234" s="804">
        <v>1</v>
      </c>
      <c r="B234" s="840" t="s">
        <v>1258</v>
      </c>
      <c r="C234" s="840"/>
      <c r="D234" s="840"/>
      <c r="E234" s="840"/>
      <c r="F234" s="840"/>
      <c r="G234" s="841" t="s">
        <v>49</v>
      </c>
      <c r="H234" s="358">
        <v>2018</v>
      </c>
      <c r="I234" s="358"/>
      <c r="J234" s="358">
        <v>2020</v>
      </c>
      <c r="K234" s="358"/>
      <c r="L234" s="358"/>
      <c r="M234" s="478" t="s">
        <v>1259</v>
      </c>
      <c r="N234" s="838">
        <v>3982</v>
      </c>
      <c r="O234" s="838"/>
      <c r="P234" s="838">
        <v>3000</v>
      </c>
      <c r="Q234" s="838"/>
      <c r="R234" s="838"/>
      <c r="S234" s="838"/>
      <c r="T234" s="838"/>
      <c r="U234" s="838"/>
      <c r="V234" s="838"/>
      <c r="W234" s="838"/>
      <c r="X234" s="838"/>
      <c r="Y234" s="838"/>
      <c r="Z234" s="776">
        <f>V234+Y234</f>
        <v>0</v>
      </c>
      <c r="AA234" s="838"/>
      <c r="AB234" s="838"/>
      <c r="AC234" s="838"/>
      <c r="AD234" s="967">
        <f>P234</f>
        <v>3000</v>
      </c>
      <c r="AE234" s="968">
        <f>AD234</f>
        <v>3000</v>
      </c>
      <c r="AF234" s="838"/>
      <c r="AG234" s="478"/>
      <c r="AH234" s="969" t="s">
        <v>1651</v>
      </c>
      <c r="AK234" s="747" t="s">
        <v>1968</v>
      </c>
      <c r="AL234" s="747"/>
      <c r="AM234" s="746"/>
      <c r="AN234" s="1173"/>
      <c r="AO234" s="970" t="s">
        <v>1261</v>
      </c>
      <c r="AP234" s="970" t="s">
        <v>1216</v>
      </c>
      <c r="AQ234" s="479" t="s">
        <v>1262</v>
      </c>
      <c r="AS234" s="802"/>
      <c r="AT234" s="802"/>
      <c r="AU234" s="803"/>
    </row>
    <row r="235" spans="1:47" s="1173" customFormat="1" ht="51">
      <c r="A235" s="971">
        <v>2</v>
      </c>
      <c r="B235" s="972" t="s">
        <v>1266</v>
      </c>
      <c r="C235" s="972"/>
      <c r="D235" s="972"/>
      <c r="E235" s="972"/>
      <c r="F235" s="972"/>
      <c r="G235" s="973" t="s">
        <v>44</v>
      </c>
      <c r="H235" s="1122">
        <v>2019</v>
      </c>
      <c r="I235" s="1122"/>
      <c r="J235" s="1122">
        <v>2021</v>
      </c>
      <c r="K235" s="1122"/>
      <c r="L235" s="1122"/>
      <c r="M235" s="1591" t="s">
        <v>2068</v>
      </c>
      <c r="N235" s="974">
        <v>5000</v>
      </c>
      <c r="O235" s="974"/>
      <c r="P235" s="974">
        <v>5000</v>
      </c>
      <c r="Q235" s="974"/>
      <c r="R235" s="974"/>
      <c r="S235" s="974"/>
      <c r="T235" s="974"/>
      <c r="U235" s="974"/>
      <c r="V235" s="974"/>
      <c r="W235" s="974"/>
      <c r="X235" s="974"/>
      <c r="Y235" s="974"/>
      <c r="Z235" s="821">
        <f t="shared" si="110"/>
        <v>0</v>
      </c>
      <c r="AA235" s="974"/>
      <c r="AB235" s="974"/>
      <c r="AC235" s="974"/>
      <c r="AD235" s="967">
        <f>P235*0.6</f>
        <v>3000</v>
      </c>
      <c r="AE235" s="968">
        <f>AD235</f>
        <v>3000</v>
      </c>
      <c r="AF235" s="967"/>
      <c r="AG235" s="479"/>
      <c r="AH235" s="1754"/>
      <c r="AK235" s="1174" t="s">
        <v>2035</v>
      </c>
      <c r="AL235" s="1174"/>
      <c r="AM235" s="832"/>
      <c r="AO235" s="975" t="s">
        <v>1266</v>
      </c>
      <c r="AP235" s="975" t="s">
        <v>1216</v>
      </c>
      <c r="AQ235" s="980" t="s">
        <v>1267</v>
      </c>
      <c r="AS235" s="832"/>
      <c r="AT235" s="832"/>
      <c r="AU235" s="834"/>
    </row>
    <row r="236" spans="1:47" s="1173" customFormat="1" ht="51">
      <c r="A236" s="976">
        <v>3</v>
      </c>
      <c r="B236" s="977" t="s">
        <v>1268</v>
      </c>
      <c r="C236" s="977"/>
      <c r="D236" s="977"/>
      <c r="E236" s="977"/>
      <c r="F236" s="977"/>
      <c r="G236" s="944" t="s">
        <v>17</v>
      </c>
      <c r="H236" s="1178">
        <v>2019</v>
      </c>
      <c r="I236" s="1178"/>
      <c r="J236" s="1122">
        <v>2021</v>
      </c>
      <c r="K236" s="1178"/>
      <c r="L236" s="1178"/>
      <c r="M236" s="1591" t="s">
        <v>1864</v>
      </c>
      <c r="N236" s="978">
        <v>3000</v>
      </c>
      <c r="O236" s="978"/>
      <c r="P236" s="978">
        <v>1800</v>
      </c>
      <c r="Q236" s="978"/>
      <c r="R236" s="978"/>
      <c r="S236" s="978"/>
      <c r="T236" s="978"/>
      <c r="U236" s="978"/>
      <c r="V236" s="978"/>
      <c r="W236" s="978"/>
      <c r="X236" s="978"/>
      <c r="Y236" s="978"/>
      <c r="Z236" s="821">
        <f t="shared" si="110"/>
        <v>0</v>
      </c>
      <c r="AA236" s="967"/>
      <c r="AB236" s="967"/>
      <c r="AC236" s="967"/>
      <c r="AD236" s="967">
        <v>1800</v>
      </c>
      <c r="AE236" s="967">
        <v>1800</v>
      </c>
      <c r="AF236" s="979"/>
      <c r="AG236" s="980"/>
      <c r="AH236" s="1755"/>
      <c r="AK236" s="1174" t="s">
        <v>1966</v>
      </c>
      <c r="AL236" s="1174"/>
      <c r="AM236" s="832" t="s">
        <v>2081</v>
      </c>
      <c r="AN236" s="1173" t="s">
        <v>2087</v>
      </c>
      <c r="AO236" s="975" t="s">
        <v>998</v>
      </c>
      <c r="AP236" s="975" t="s">
        <v>1216</v>
      </c>
      <c r="AQ236" s="980" t="s">
        <v>1269</v>
      </c>
      <c r="AS236" s="832"/>
      <c r="AT236" s="832"/>
      <c r="AU236" s="834"/>
    </row>
    <row r="237" spans="1:47" s="1173" customFormat="1" ht="51">
      <c r="A237" s="976">
        <v>4</v>
      </c>
      <c r="B237" s="977" t="s">
        <v>1270</v>
      </c>
      <c r="C237" s="977"/>
      <c r="D237" s="977"/>
      <c r="E237" s="977"/>
      <c r="F237" s="977"/>
      <c r="G237" s="944" t="s">
        <v>49</v>
      </c>
      <c r="H237" s="1178">
        <v>2019</v>
      </c>
      <c r="I237" s="1178"/>
      <c r="J237" s="1178">
        <v>2021</v>
      </c>
      <c r="K237" s="1178"/>
      <c r="L237" s="1178"/>
      <c r="M237" s="1591" t="s">
        <v>1865</v>
      </c>
      <c r="N237" s="978">
        <v>3000</v>
      </c>
      <c r="O237" s="978"/>
      <c r="P237" s="979">
        <f>N237</f>
        <v>3000</v>
      </c>
      <c r="Q237" s="979"/>
      <c r="R237" s="979"/>
      <c r="S237" s="979"/>
      <c r="T237" s="979"/>
      <c r="U237" s="979"/>
      <c r="V237" s="979"/>
      <c r="W237" s="979"/>
      <c r="X237" s="979"/>
      <c r="Y237" s="979"/>
      <c r="Z237" s="821">
        <f t="shared" si="110"/>
        <v>0</v>
      </c>
      <c r="AA237" s="979"/>
      <c r="AB237" s="979"/>
      <c r="AC237" s="979"/>
      <c r="AD237" s="967">
        <f>P237*0.6</f>
        <v>1800</v>
      </c>
      <c r="AE237" s="968">
        <f>AD237</f>
        <v>1800</v>
      </c>
      <c r="AF237" s="979"/>
      <c r="AG237" s="980"/>
      <c r="AH237" s="1756"/>
      <c r="AK237" s="1174" t="s">
        <v>1952</v>
      </c>
      <c r="AL237" s="1174"/>
      <c r="AM237" s="832"/>
      <c r="AO237" s="975" t="s">
        <v>1271</v>
      </c>
      <c r="AP237" s="975" t="s">
        <v>1216</v>
      </c>
      <c r="AQ237" s="980" t="s">
        <v>1272</v>
      </c>
      <c r="AS237" s="832"/>
      <c r="AT237" s="832"/>
      <c r="AU237" s="834"/>
    </row>
    <row r="238" spans="1:47" s="1173" customFormat="1" ht="51">
      <c r="A238" s="981">
        <v>5</v>
      </c>
      <c r="B238" s="977" t="s">
        <v>1277</v>
      </c>
      <c r="C238" s="977"/>
      <c r="D238" s="977"/>
      <c r="E238" s="977"/>
      <c r="F238" s="977"/>
      <c r="G238" s="944" t="s">
        <v>9</v>
      </c>
      <c r="H238" s="1178">
        <v>2019</v>
      </c>
      <c r="I238" s="1178"/>
      <c r="J238" s="1178">
        <v>2021</v>
      </c>
      <c r="K238" s="1178"/>
      <c r="L238" s="1178"/>
      <c r="M238" s="982" t="s">
        <v>1866</v>
      </c>
      <c r="N238" s="978">
        <v>8600</v>
      </c>
      <c r="O238" s="978"/>
      <c r="P238" s="979">
        <v>8600</v>
      </c>
      <c r="Q238" s="979"/>
      <c r="R238" s="979"/>
      <c r="S238" s="979"/>
      <c r="T238" s="979"/>
      <c r="U238" s="979"/>
      <c r="V238" s="979"/>
      <c r="W238" s="979"/>
      <c r="X238" s="979"/>
      <c r="Y238" s="979"/>
      <c r="Z238" s="821">
        <f>V238+Y238</f>
        <v>0</v>
      </c>
      <c r="AA238" s="979"/>
      <c r="AB238" s="979"/>
      <c r="AC238" s="979"/>
      <c r="AD238" s="979">
        <f>P238*0.6</f>
        <v>5160</v>
      </c>
      <c r="AE238" s="948">
        <f>AD238</f>
        <v>5160</v>
      </c>
      <c r="AF238" s="979"/>
      <c r="AG238" s="980"/>
      <c r="AH238" s="983" t="s">
        <v>1796</v>
      </c>
      <c r="AK238" s="1174" t="s">
        <v>1992</v>
      </c>
      <c r="AL238" s="1174"/>
      <c r="AM238" s="832"/>
      <c r="AN238" s="1173" t="s">
        <v>2087</v>
      </c>
      <c r="AO238" s="975" t="s">
        <v>1277</v>
      </c>
      <c r="AP238" s="975" t="s">
        <v>1216</v>
      </c>
      <c r="AQ238" s="945" t="s">
        <v>1278</v>
      </c>
      <c r="AS238" s="832"/>
      <c r="AT238" s="832"/>
      <c r="AU238" s="834"/>
    </row>
    <row r="239" spans="1:47" s="1173" customFormat="1" ht="51">
      <c r="A239" s="981">
        <v>6</v>
      </c>
      <c r="B239" s="977" t="s">
        <v>1279</v>
      </c>
      <c r="C239" s="977"/>
      <c r="D239" s="977"/>
      <c r="E239" s="977"/>
      <c r="F239" s="977"/>
      <c r="G239" s="944" t="s">
        <v>26</v>
      </c>
      <c r="H239" s="1178">
        <v>2019</v>
      </c>
      <c r="I239" s="1178"/>
      <c r="J239" s="1178">
        <v>2021</v>
      </c>
      <c r="K239" s="1178"/>
      <c r="L239" s="1178"/>
      <c r="M239" s="1591" t="s">
        <v>2069</v>
      </c>
      <c r="N239" s="978">
        <v>5500</v>
      </c>
      <c r="O239" s="978"/>
      <c r="P239" s="979">
        <v>5500</v>
      </c>
      <c r="Q239" s="979"/>
      <c r="R239" s="979"/>
      <c r="S239" s="979"/>
      <c r="T239" s="979"/>
      <c r="U239" s="979"/>
      <c r="V239" s="979"/>
      <c r="W239" s="979"/>
      <c r="X239" s="979"/>
      <c r="Y239" s="979"/>
      <c r="Z239" s="821">
        <f>V239+Y239</f>
        <v>0</v>
      </c>
      <c r="AA239" s="979"/>
      <c r="AB239" s="979"/>
      <c r="AC239" s="979"/>
      <c r="AD239" s="967">
        <f>P239*0.6</f>
        <v>3300</v>
      </c>
      <c r="AE239" s="968">
        <f>AD239</f>
        <v>3300</v>
      </c>
      <c r="AF239" s="979"/>
      <c r="AG239" s="980"/>
      <c r="AH239" s="983"/>
      <c r="AK239" s="1174" t="s">
        <v>2025</v>
      </c>
      <c r="AL239" s="1174"/>
      <c r="AM239" s="832"/>
      <c r="AO239" s="975" t="s">
        <v>1279</v>
      </c>
      <c r="AP239" s="975" t="s">
        <v>1216</v>
      </c>
      <c r="AQ239" s="945" t="s">
        <v>1280</v>
      </c>
      <c r="AS239" s="832"/>
      <c r="AT239" s="832"/>
      <c r="AU239" s="834"/>
    </row>
    <row r="240" spans="1:47" s="1592" customFormat="1" ht="51">
      <c r="A240" s="984">
        <v>3</v>
      </c>
      <c r="B240" s="985" t="s">
        <v>1254</v>
      </c>
      <c r="C240" s="985"/>
      <c r="D240" s="985"/>
      <c r="E240" s="985"/>
      <c r="F240" s="985"/>
      <c r="G240" s="986" t="s">
        <v>17</v>
      </c>
      <c r="H240" s="987">
        <v>2018</v>
      </c>
      <c r="I240" s="987"/>
      <c r="J240" s="987">
        <v>2020</v>
      </c>
      <c r="K240" s="987"/>
      <c r="L240" s="987"/>
      <c r="M240" s="987" t="s">
        <v>1255</v>
      </c>
      <c r="N240" s="988">
        <v>14800</v>
      </c>
      <c r="O240" s="988"/>
      <c r="P240" s="988">
        <v>9800</v>
      </c>
      <c r="Q240" s="988"/>
      <c r="R240" s="988"/>
      <c r="S240" s="988"/>
      <c r="T240" s="988"/>
      <c r="U240" s="988"/>
      <c r="V240" s="988"/>
      <c r="W240" s="988"/>
      <c r="X240" s="988"/>
      <c r="Y240" s="988"/>
      <c r="Z240" s="989">
        <f>V240+Y240</f>
        <v>0</v>
      </c>
      <c r="AA240" s="988"/>
      <c r="AB240" s="988"/>
      <c r="AC240" s="988"/>
      <c r="AD240" s="990">
        <f>AE240</f>
        <v>9600</v>
      </c>
      <c r="AE240" s="990">
        <v>9600</v>
      </c>
      <c r="AF240" s="991"/>
      <c r="AG240" s="987"/>
      <c r="AH240" s="992" t="s">
        <v>1619</v>
      </c>
      <c r="AI240" s="1592" t="s">
        <v>1932</v>
      </c>
      <c r="AK240" s="1174" t="s">
        <v>2094</v>
      </c>
      <c r="AL240" s="1545"/>
      <c r="AM240" s="1593"/>
      <c r="AN240" s="1173"/>
      <c r="AO240" s="993" t="s">
        <v>1058</v>
      </c>
      <c r="AP240" s="1594" t="s">
        <v>1256</v>
      </c>
      <c r="AQ240" s="987" t="s">
        <v>1257</v>
      </c>
      <c r="AS240" s="1594"/>
      <c r="AT240" s="1594"/>
      <c r="AU240" s="1595"/>
    </row>
    <row r="241" spans="1:51" ht="13.5">
      <c r="A241" s="994"/>
      <c r="B241" s="961" t="s">
        <v>1344</v>
      </c>
      <c r="C241" s="995"/>
      <c r="D241" s="995"/>
      <c r="E241" s="995"/>
      <c r="F241" s="995"/>
      <c r="G241" s="996"/>
      <c r="H241" s="1596"/>
      <c r="I241" s="1596"/>
      <c r="J241" s="1596"/>
      <c r="K241" s="1596"/>
      <c r="L241" s="1596"/>
      <c r="M241" s="997"/>
      <c r="N241" s="998"/>
      <c r="O241" s="998"/>
      <c r="P241" s="999"/>
      <c r="Q241" s="999"/>
      <c r="R241" s="999"/>
      <c r="S241" s="999"/>
      <c r="T241" s="999"/>
      <c r="U241" s="999"/>
      <c r="V241" s="999"/>
      <c r="W241" s="999"/>
      <c r="X241" s="999"/>
      <c r="Y241" s="999"/>
      <c r="Z241" s="829"/>
      <c r="AA241" s="999"/>
      <c r="AB241" s="999"/>
      <c r="AC241" s="999"/>
      <c r="AD241" s="999"/>
      <c r="AE241" s="639"/>
      <c r="AF241" s="999"/>
      <c r="AG241" s="1000"/>
      <c r="AH241" s="1001"/>
      <c r="AK241" s="747"/>
      <c r="AL241" s="747"/>
      <c r="AM241" s="746"/>
      <c r="AN241" s="1173"/>
      <c r="AO241" s="1002"/>
      <c r="AP241" s="1002"/>
      <c r="AQ241" s="945"/>
      <c r="AS241" s="832"/>
      <c r="AT241" s="832"/>
      <c r="AU241" s="834"/>
    </row>
    <row r="242" spans="1:51" ht="51">
      <c r="A242" s="804">
        <v>1</v>
      </c>
      <c r="B242" s="1003" t="s">
        <v>1263</v>
      </c>
      <c r="C242" s="1003"/>
      <c r="D242" s="1003"/>
      <c r="E242" s="1003"/>
      <c r="F242" s="1003"/>
      <c r="G242" s="1004" t="s">
        <v>49</v>
      </c>
      <c r="H242" s="478">
        <v>2018</v>
      </c>
      <c r="I242" s="478"/>
      <c r="J242" s="478">
        <v>2020</v>
      </c>
      <c r="K242" s="478"/>
      <c r="L242" s="478"/>
      <c r="M242" s="478" t="s">
        <v>1264</v>
      </c>
      <c r="N242" s="935">
        <v>4000</v>
      </c>
      <c r="O242" s="935"/>
      <c r="P242" s="935">
        <v>2400</v>
      </c>
      <c r="Q242" s="935"/>
      <c r="R242" s="935"/>
      <c r="S242" s="935"/>
      <c r="T242" s="935"/>
      <c r="U242" s="935"/>
      <c r="V242" s="935"/>
      <c r="W242" s="935"/>
      <c r="X242" s="935"/>
      <c r="Y242" s="935"/>
      <c r="Z242" s="776">
        <f>V242+Y242</f>
        <v>0</v>
      </c>
      <c r="AA242" s="935"/>
      <c r="AB242" s="935"/>
      <c r="AC242" s="935"/>
      <c r="AD242" s="1005">
        <f>P242*1</f>
        <v>2400</v>
      </c>
      <c r="AE242" s="1005">
        <f>AD242</f>
        <v>2400</v>
      </c>
      <c r="AF242" s="1006"/>
      <c r="AG242" s="478"/>
      <c r="AH242" s="1007" t="s">
        <v>1618</v>
      </c>
      <c r="AK242" s="1174" t="s">
        <v>1967</v>
      </c>
      <c r="AL242" s="747"/>
      <c r="AM242" s="746"/>
      <c r="AN242" s="1173" t="s">
        <v>2087</v>
      </c>
      <c r="AO242" s="970" t="s">
        <v>901</v>
      </c>
      <c r="AP242" s="802"/>
      <c r="AQ242" s="479" t="s">
        <v>1265</v>
      </c>
      <c r="AS242" s="802"/>
      <c r="AT242" s="802"/>
      <c r="AU242" s="803"/>
    </row>
    <row r="243" spans="1:51" s="1322" customFormat="1" ht="51">
      <c r="A243" s="1008">
        <v>2</v>
      </c>
      <c r="B243" s="995" t="s">
        <v>1281</v>
      </c>
      <c r="C243" s="995"/>
      <c r="D243" s="995"/>
      <c r="E243" s="995"/>
      <c r="F243" s="995"/>
      <c r="G243" s="996" t="s">
        <v>46</v>
      </c>
      <c r="H243" s="1009">
        <v>2019</v>
      </c>
      <c r="I243" s="1009"/>
      <c r="J243" s="1009">
        <v>2021</v>
      </c>
      <c r="K243" s="1009"/>
      <c r="L243" s="1009"/>
      <c r="M243" s="478" t="s">
        <v>2129</v>
      </c>
      <c r="N243" s="998">
        <v>3500</v>
      </c>
      <c r="O243" s="998"/>
      <c r="P243" s="998">
        <v>3500</v>
      </c>
      <c r="Q243" s="998"/>
      <c r="R243" s="998"/>
      <c r="S243" s="998"/>
      <c r="T243" s="998"/>
      <c r="U243" s="998"/>
      <c r="V243" s="998"/>
      <c r="W243" s="998"/>
      <c r="X243" s="998"/>
      <c r="Y243" s="998"/>
      <c r="Z243" s="776">
        <f>V243+Y243</f>
        <v>0</v>
      </c>
      <c r="AA243" s="1011"/>
      <c r="AB243" s="1011"/>
      <c r="AC243" s="1011"/>
      <c r="AD243" s="1005">
        <f t="shared" ref="AD243:AD245" si="112">P243*0.6</f>
        <v>2100</v>
      </c>
      <c r="AE243" s="1005">
        <f t="shared" ref="AE243:AE245" si="113">AD243</f>
        <v>2100</v>
      </c>
      <c r="AF243" s="1011"/>
      <c r="AG243" s="1000"/>
      <c r="AH243" s="1001"/>
      <c r="AK243" s="1326" t="s">
        <v>2040</v>
      </c>
      <c r="AL243" s="1326"/>
      <c r="AM243" s="1327"/>
      <c r="AN243" s="1173"/>
      <c r="AO243" s="1012" t="s">
        <v>1282</v>
      </c>
      <c r="AP243" s="1002" t="s">
        <v>1283</v>
      </c>
      <c r="AQ243" s="980"/>
      <c r="AR243" s="1597"/>
      <c r="AS243" s="1588"/>
      <c r="AT243" s="1588"/>
      <c r="AU243" s="1598"/>
      <c r="AW243" s="1327"/>
      <c r="AX243" s="1327"/>
      <c r="AY243" s="1599"/>
    </row>
    <row r="244" spans="1:51" ht="50.25" customHeight="1">
      <c r="A244" s="1008">
        <v>3</v>
      </c>
      <c r="B244" s="1013" t="s">
        <v>1273</v>
      </c>
      <c r="C244" s="1013"/>
      <c r="D244" s="1013"/>
      <c r="E244" s="1013"/>
      <c r="F244" s="1013"/>
      <c r="G244" s="1014" t="s">
        <v>33</v>
      </c>
      <c r="H244" s="997">
        <v>2019</v>
      </c>
      <c r="I244" s="997"/>
      <c r="J244" s="997">
        <v>2021</v>
      </c>
      <c r="K244" s="997"/>
      <c r="L244" s="997"/>
      <c r="M244" s="997" t="s">
        <v>1274</v>
      </c>
      <c r="N244" s="1015">
        <v>4000</v>
      </c>
      <c r="O244" s="1015"/>
      <c r="P244" s="1016">
        <f>N244*0.6</f>
        <v>2400</v>
      </c>
      <c r="Q244" s="1016"/>
      <c r="R244" s="1016"/>
      <c r="S244" s="1016"/>
      <c r="T244" s="1016"/>
      <c r="U244" s="1016"/>
      <c r="V244" s="1016"/>
      <c r="W244" s="1016"/>
      <c r="X244" s="1016"/>
      <c r="Y244" s="1016"/>
      <c r="Z244" s="776">
        <f t="shared" si="110"/>
        <v>0</v>
      </c>
      <c r="AA244" s="1016"/>
      <c r="AB244" s="1016"/>
      <c r="AC244" s="1016"/>
      <c r="AD244" s="1005">
        <f t="shared" si="112"/>
        <v>1440</v>
      </c>
      <c r="AE244" s="1005">
        <f t="shared" si="113"/>
        <v>1440</v>
      </c>
      <c r="AF244" s="1017"/>
      <c r="AG244" s="1000"/>
      <c r="AH244" s="1001" t="s">
        <v>1260</v>
      </c>
      <c r="AK244" s="747" t="s">
        <v>2026</v>
      </c>
      <c r="AL244" s="747"/>
      <c r="AM244" s="746"/>
      <c r="AN244" s="1173" t="s">
        <v>2087</v>
      </c>
      <c r="AO244" s="1018" t="s">
        <v>862</v>
      </c>
      <c r="AP244" s="1019" t="s">
        <v>1275</v>
      </c>
      <c r="AQ244" s="945" t="s">
        <v>1276</v>
      </c>
      <c r="AS244" s="832"/>
      <c r="AT244" s="832"/>
      <c r="AU244" s="834"/>
    </row>
    <row r="245" spans="1:51" ht="45" customHeight="1">
      <c r="A245" s="804">
        <v>4</v>
      </c>
      <c r="B245" s="1020" t="s">
        <v>1284</v>
      </c>
      <c r="C245" s="1020"/>
      <c r="D245" s="1020"/>
      <c r="E245" s="1020"/>
      <c r="F245" s="1020"/>
      <c r="G245" s="997" t="s">
        <v>17</v>
      </c>
      <c r="H245" s="1021">
        <v>2019</v>
      </c>
      <c r="I245" s="1021"/>
      <c r="J245" s="1021">
        <v>2021</v>
      </c>
      <c r="K245" s="1021"/>
      <c r="L245" s="1021"/>
      <c r="M245" s="997" t="s">
        <v>1641</v>
      </c>
      <c r="N245" s="1022">
        <v>3000</v>
      </c>
      <c r="O245" s="1022"/>
      <c r="P245" s="1022">
        <v>1800</v>
      </c>
      <c r="Q245" s="1022"/>
      <c r="R245" s="1022"/>
      <c r="S245" s="1022"/>
      <c r="T245" s="1022"/>
      <c r="U245" s="1022"/>
      <c r="V245" s="1022"/>
      <c r="W245" s="1022"/>
      <c r="X245" s="1022"/>
      <c r="Y245" s="1022"/>
      <c r="Z245" s="776">
        <f t="shared" si="110"/>
        <v>0</v>
      </c>
      <c r="AA245" s="1022"/>
      <c r="AB245" s="1022"/>
      <c r="AC245" s="1022"/>
      <c r="AD245" s="1005">
        <f t="shared" si="112"/>
        <v>1080</v>
      </c>
      <c r="AE245" s="1005">
        <f t="shared" si="113"/>
        <v>1080</v>
      </c>
      <c r="AF245" s="1022"/>
      <c r="AG245" s="1023"/>
      <c r="AH245" s="1001" t="s">
        <v>1260</v>
      </c>
      <c r="AK245" s="747" t="s">
        <v>2056</v>
      </c>
      <c r="AL245" s="747"/>
      <c r="AM245" s="746"/>
      <c r="AN245" s="1173" t="s">
        <v>2087</v>
      </c>
      <c r="AO245" s="997" t="s">
        <v>1285</v>
      </c>
      <c r="AP245" s="1002" t="s">
        <v>1216</v>
      </c>
      <c r="AQ245" s="945" t="s">
        <v>1286</v>
      </c>
      <c r="AS245" s="832"/>
      <c r="AT245" s="832"/>
      <c r="AU245" s="834"/>
    </row>
    <row r="246" spans="1:51" s="1602" customFormat="1" ht="21.75" customHeight="1">
      <c r="A246" s="1024"/>
      <c r="B246" s="1025"/>
      <c r="C246" s="1026"/>
      <c r="D246" s="1026"/>
      <c r="E246" s="1025"/>
      <c r="F246" s="1025"/>
      <c r="G246" s="1027"/>
      <c r="H246" s="1028"/>
      <c r="I246" s="1028"/>
      <c r="J246" s="1029"/>
      <c r="K246" s="1029"/>
      <c r="L246" s="1029"/>
      <c r="M246" s="1024"/>
      <c r="N246" s="1030"/>
      <c r="O246" s="1030"/>
      <c r="P246" s="1031"/>
      <c r="Q246" s="1030"/>
      <c r="R246" s="1030"/>
      <c r="S246" s="1030"/>
      <c r="T246" s="1030"/>
      <c r="U246" s="1030"/>
      <c r="V246" s="776"/>
      <c r="W246" s="1600"/>
      <c r="X246" s="776"/>
      <c r="Y246" s="1600"/>
      <c r="Z246" s="776">
        <f t="shared" si="110"/>
        <v>0</v>
      </c>
      <c r="AA246" s="1030"/>
      <c r="AB246" s="1030"/>
      <c r="AC246" s="1030"/>
      <c r="AD246" s="1030"/>
      <c r="AE246" s="1030"/>
      <c r="AF246" s="1600"/>
      <c r="AG246" s="1032"/>
      <c r="AH246" s="1601" t="s">
        <v>696</v>
      </c>
      <c r="AK246" s="1603"/>
      <c r="AL246" s="1603"/>
      <c r="AM246" s="1604"/>
    </row>
    <row r="247" spans="1:51" s="1173" customFormat="1">
      <c r="A247" s="754" t="s">
        <v>562</v>
      </c>
      <c r="B247" s="755" t="s">
        <v>563</v>
      </c>
      <c r="C247" s="756"/>
      <c r="D247" s="756"/>
      <c r="E247" s="754"/>
      <c r="F247" s="754"/>
      <c r="G247" s="756"/>
      <c r="H247" s="1605"/>
      <c r="I247" s="1605"/>
      <c r="J247" s="1606"/>
      <c r="K247" s="1606"/>
      <c r="L247" s="755"/>
      <c r="M247" s="754"/>
      <c r="N247" s="1607">
        <f t="shared" ref="N247:W247" si="114">SUBTOTAL(109,N248:N250)</f>
        <v>631296</v>
      </c>
      <c r="O247" s="1607">
        <f t="shared" si="114"/>
        <v>0</v>
      </c>
      <c r="P247" s="1607">
        <f t="shared" si="114"/>
        <v>241401</v>
      </c>
      <c r="Q247" s="1607">
        <f t="shared" si="114"/>
        <v>169488</v>
      </c>
      <c r="R247" s="1607">
        <f t="shared" si="114"/>
        <v>0</v>
      </c>
      <c r="S247" s="1607">
        <f t="shared" si="114"/>
        <v>24737</v>
      </c>
      <c r="T247" s="1607">
        <f t="shared" si="114"/>
        <v>104854</v>
      </c>
      <c r="U247" s="1607">
        <f t="shared" si="114"/>
        <v>80500</v>
      </c>
      <c r="V247" s="1607">
        <f t="shared" si="114"/>
        <v>20000</v>
      </c>
      <c r="W247" s="1607">
        <f t="shared" si="114"/>
        <v>20000</v>
      </c>
      <c r="X247" s="776"/>
      <c r="Y247" s="1608"/>
      <c r="Z247" s="1607">
        <f t="shared" ref="Z247:AE247" si="115">SUBTOTAL(109,Z248:Z250)</f>
        <v>20000</v>
      </c>
      <c r="AA247" s="1607">
        <f t="shared" si="115"/>
        <v>189488</v>
      </c>
      <c r="AB247" s="1607">
        <f t="shared" si="115"/>
        <v>20000</v>
      </c>
      <c r="AC247" s="1607">
        <f t="shared" si="115"/>
        <v>44737</v>
      </c>
      <c r="AD247" s="1607">
        <f t="shared" si="115"/>
        <v>104854</v>
      </c>
      <c r="AE247" s="1607">
        <f t="shared" si="115"/>
        <v>60500</v>
      </c>
      <c r="AF247" s="1608"/>
      <c r="AG247" s="776"/>
      <c r="AH247" s="1609"/>
      <c r="AK247" s="1174"/>
      <c r="AL247" s="1174"/>
      <c r="AM247" s="832"/>
    </row>
    <row r="248" spans="1:51" ht="25.5">
      <c r="A248" s="777">
        <v>1</v>
      </c>
      <c r="B248" s="1610" t="s">
        <v>31</v>
      </c>
      <c r="C248" s="1610"/>
      <c r="D248" s="1611"/>
      <c r="E248" s="385" t="s">
        <v>69</v>
      </c>
      <c r="F248" s="1112" t="s">
        <v>386</v>
      </c>
      <c r="G248" s="1612" t="s">
        <v>26</v>
      </c>
      <c r="H248" s="358">
        <v>2015</v>
      </c>
      <c r="I248" s="358">
        <v>2015</v>
      </c>
      <c r="J248" s="358">
        <v>2020</v>
      </c>
      <c r="K248" s="358" t="s">
        <v>399</v>
      </c>
      <c r="L248" s="358"/>
      <c r="M248" s="462" t="s">
        <v>32</v>
      </c>
      <c r="N248" s="1200">
        <v>391564</v>
      </c>
      <c r="O248" s="1200">
        <v>0</v>
      </c>
      <c r="P248" s="1200">
        <v>156626</v>
      </c>
      <c r="Q248" s="1115">
        <v>104943</v>
      </c>
      <c r="R248" s="1115"/>
      <c r="S248" s="1115">
        <v>4750</v>
      </c>
      <c r="T248" s="1115">
        <f>65634-4600</f>
        <v>61034</v>
      </c>
      <c r="U248" s="1200">
        <v>56284</v>
      </c>
      <c r="V248" s="776">
        <f>VLOOKUP($B248,QD!$B$9:$L$316,10,0)</f>
        <v>7500</v>
      </c>
      <c r="W248" s="776">
        <v>7500</v>
      </c>
      <c r="X248" s="776">
        <v>0</v>
      </c>
      <c r="Y248" s="1201"/>
      <c r="Z248" s="776">
        <f t="shared" si="110"/>
        <v>7500</v>
      </c>
      <c r="AA248" s="775">
        <f t="shared" ref="AA248" si="116">Q248+$Z248</f>
        <v>112443</v>
      </c>
      <c r="AB248" s="775">
        <f t="shared" ref="AB248" si="117">R248+$Z248</f>
        <v>7500</v>
      </c>
      <c r="AC248" s="775">
        <f t="shared" ref="AC248" si="118">S248+$Z248</f>
        <v>12250</v>
      </c>
      <c r="AD248" s="775">
        <f t="shared" ref="AD248" si="119">T248</f>
        <v>61034</v>
      </c>
      <c r="AE248" s="775">
        <f t="shared" ref="AE248" si="120">U248-Z248</f>
        <v>48784</v>
      </c>
      <c r="AF248" s="1201"/>
      <c r="AG248" s="776"/>
      <c r="AH248" s="933"/>
      <c r="AK248" s="747" t="s">
        <v>2063</v>
      </c>
      <c r="AL248" s="747" t="s">
        <v>164</v>
      </c>
      <c r="AM248" s="746"/>
    </row>
    <row r="249" spans="1:51" ht="25.5">
      <c r="A249" s="777">
        <v>2</v>
      </c>
      <c r="B249" s="1610" t="s">
        <v>27</v>
      </c>
      <c r="C249" s="1610"/>
      <c r="D249" s="1611"/>
      <c r="E249" s="385" t="s">
        <v>69</v>
      </c>
      <c r="F249" s="1112" t="s">
        <v>386</v>
      </c>
      <c r="G249" s="1612" t="s">
        <v>26</v>
      </c>
      <c r="H249" s="358">
        <v>2016</v>
      </c>
      <c r="I249" s="358">
        <v>2016</v>
      </c>
      <c r="J249" s="358">
        <v>2018</v>
      </c>
      <c r="K249" s="358" t="s">
        <v>400</v>
      </c>
      <c r="L249" s="358"/>
      <c r="M249" s="462" t="s">
        <v>28</v>
      </c>
      <c r="N249" s="1200">
        <v>167137</v>
      </c>
      <c r="O249" s="1200">
        <v>0</v>
      </c>
      <c r="P249" s="1200">
        <v>66855</v>
      </c>
      <c r="Q249" s="1115">
        <v>45084</v>
      </c>
      <c r="R249" s="1115"/>
      <c r="S249" s="1115">
        <v>10000</v>
      </c>
      <c r="T249" s="1115">
        <v>25900</v>
      </c>
      <c r="U249" s="1200">
        <v>15900</v>
      </c>
      <c r="V249" s="776">
        <f>VLOOKUP($B249,QD!$B$9:$L$316,10,0)</f>
        <v>4184</v>
      </c>
      <c r="W249" s="776">
        <v>4184</v>
      </c>
      <c r="X249" s="776">
        <v>0</v>
      </c>
      <c r="Y249" s="1201"/>
      <c r="Z249" s="776">
        <f t="shared" si="110"/>
        <v>4184</v>
      </c>
      <c r="AA249" s="775">
        <f t="shared" ref="AA249:AA250" si="121">Q249+$Z249</f>
        <v>49268</v>
      </c>
      <c r="AB249" s="775">
        <f t="shared" ref="AB249:AB250" si="122">R249+$Z249</f>
        <v>4184</v>
      </c>
      <c r="AC249" s="775">
        <f t="shared" ref="AC249:AC250" si="123">S249+$Z249</f>
        <v>14184</v>
      </c>
      <c r="AD249" s="775">
        <f t="shared" ref="AD249:AD250" si="124">T249</f>
        <v>25900</v>
      </c>
      <c r="AE249" s="775">
        <f t="shared" ref="AE249:AE250" si="125">U249-Z249</f>
        <v>11716</v>
      </c>
      <c r="AF249" s="1201"/>
      <c r="AG249" s="776"/>
      <c r="AH249" s="933"/>
      <c r="AK249" s="747" t="s">
        <v>2063</v>
      </c>
      <c r="AL249" s="747" t="s">
        <v>164</v>
      </c>
      <c r="AM249" s="746"/>
    </row>
    <row r="250" spans="1:51" ht="25.5">
      <c r="A250" s="777">
        <v>3</v>
      </c>
      <c r="B250" s="1610" t="s">
        <v>29</v>
      </c>
      <c r="C250" s="1610"/>
      <c r="D250" s="1611"/>
      <c r="E250" s="385" t="s">
        <v>69</v>
      </c>
      <c r="F250" s="1112" t="s">
        <v>386</v>
      </c>
      <c r="G250" s="1612" t="s">
        <v>26</v>
      </c>
      <c r="H250" s="358">
        <v>2016</v>
      </c>
      <c r="I250" s="358">
        <v>2016</v>
      </c>
      <c r="J250" s="358">
        <v>2018</v>
      </c>
      <c r="K250" s="358" t="s">
        <v>399</v>
      </c>
      <c r="L250" s="358"/>
      <c r="M250" s="462" t="s">
        <v>30</v>
      </c>
      <c r="N250" s="1200">
        <v>72595</v>
      </c>
      <c r="O250" s="1200">
        <v>0</v>
      </c>
      <c r="P250" s="1200">
        <v>17920</v>
      </c>
      <c r="Q250" s="1115">
        <v>19461</v>
      </c>
      <c r="R250" s="1115"/>
      <c r="S250" s="1115">
        <v>9987</v>
      </c>
      <c r="T250" s="1115">
        <v>17920</v>
      </c>
      <c r="U250" s="1200">
        <v>8316</v>
      </c>
      <c r="V250" s="776">
        <f>VLOOKUP($B250,QD!$B$9:$L$316,10,0)</f>
        <v>8316</v>
      </c>
      <c r="W250" s="776">
        <v>8316</v>
      </c>
      <c r="X250" s="776">
        <v>0</v>
      </c>
      <c r="Y250" s="1201"/>
      <c r="Z250" s="776">
        <f t="shared" si="110"/>
        <v>8316</v>
      </c>
      <c r="AA250" s="775">
        <f t="shared" si="121"/>
        <v>27777</v>
      </c>
      <c r="AB250" s="775">
        <f t="shared" si="122"/>
        <v>8316</v>
      </c>
      <c r="AC250" s="775">
        <f t="shared" si="123"/>
        <v>18303</v>
      </c>
      <c r="AD250" s="775">
        <f t="shared" si="124"/>
        <v>17920</v>
      </c>
      <c r="AE250" s="775">
        <f t="shared" si="125"/>
        <v>0</v>
      </c>
      <c r="AF250" s="1201"/>
      <c r="AG250" s="776"/>
      <c r="AH250" s="933"/>
      <c r="AI250" s="1510"/>
      <c r="AK250" s="747"/>
      <c r="AL250" s="747"/>
      <c r="AM250" s="746"/>
    </row>
    <row r="251" spans="1:51" s="1173" customFormat="1">
      <c r="A251" s="1158" t="s">
        <v>564</v>
      </c>
      <c r="B251" s="1613" t="s">
        <v>565</v>
      </c>
      <c r="C251" s="1536"/>
      <c r="D251" s="1614"/>
      <c r="E251" s="754"/>
      <c r="F251" s="1615"/>
      <c r="G251" s="754"/>
      <c r="H251" s="1163"/>
      <c r="I251" s="1123"/>
      <c r="J251" s="1163"/>
      <c r="K251" s="1123"/>
      <c r="L251" s="1122"/>
      <c r="M251" s="1616"/>
      <c r="N251" s="1607">
        <f t="shared" ref="N251:AE251" si="126">SUBTOTAL(109,N253:N256)</f>
        <v>27750</v>
      </c>
      <c r="O251" s="1607">
        <f t="shared" si="126"/>
        <v>0</v>
      </c>
      <c r="P251" s="1607">
        <f t="shared" si="126"/>
        <v>27750</v>
      </c>
      <c r="Q251" s="1607">
        <f t="shared" si="126"/>
        <v>2735</v>
      </c>
      <c r="R251" s="1607">
        <f t="shared" si="126"/>
        <v>0</v>
      </c>
      <c r="S251" s="1607">
        <f t="shared" si="126"/>
        <v>2735</v>
      </c>
      <c r="T251" s="1607">
        <f t="shared" si="126"/>
        <v>24975</v>
      </c>
      <c r="U251" s="1607">
        <f t="shared" si="126"/>
        <v>22500</v>
      </c>
      <c r="V251" s="1607">
        <f t="shared" si="126"/>
        <v>7636</v>
      </c>
      <c r="W251" s="1607">
        <f t="shared" si="126"/>
        <v>7635.8</v>
      </c>
      <c r="X251" s="1607"/>
      <c r="Y251" s="1607">
        <f t="shared" si="126"/>
        <v>0</v>
      </c>
      <c r="Z251" s="1607">
        <f t="shared" si="126"/>
        <v>7636</v>
      </c>
      <c r="AA251" s="1607">
        <f t="shared" si="126"/>
        <v>10371</v>
      </c>
      <c r="AB251" s="1607">
        <f t="shared" si="126"/>
        <v>7636</v>
      </c>
      <c r="AC251" s="1607">
        <f t="shared" si="126"/>
        <v>10371</v>
      </c>
      <c r="AD251" s="1607">
        <f t="shared" si="126"/>
        <v>24975</v>
      </c>
      <c r="AE251" s="1607">
        <f t="shared" si="126"/>
        <v>14864</v>
      </c>
      <c r="AF251" s="1608"/>
      <c r="AG251" s="776"/>
      <c r="AH251" s="1613"/>
      <c r="AK251" s="1174"/>
      <c r="AL251" s="1174"/>
      <c r="AM251" s="832"/>
    </row>
    <row r="252" spans="1:51">
      <c r="A252" s="816" t="s">
        <v>471</v>
      </c>
      <c r="B252" s="817" t="s">
        <v>523</v>
      </c>
      <c r="C252" s="1215"/>
      <c r="D252" s="1617"/>
      <c r="E252" s="165"/>
      <c r="F252" s="1618"/>
      <c r="G252" s="165"/>
      <c r="H252" s="820"/>
      <c r="I252" s="1114"/>
      <c r="J252" s="820"/>
      <c r="K252" s="1114"/>
      <c r="L252" s="358"/>
      <c r="M252" s="1619"/>
      <c r="N252" s="1620"/>
      <c r="O252" s="1620"/>
      <c r="P252" s="1620"/>
      <c r="Q252" s="1620"/>
      <c r="R252" s="1620"/>
      <c r="S252" s="1620"/>
      <c r="T252" s="1620"/>
      <c r="U252" s="1620"/>
      <c r="V252" s="776">
        <f>VLOOKUP($B252,QD!$B$9:$L$316,10,0)</f>
        <v>0</v>
      </c>
      <c r="W252" s="1621"/>
      <c r="X252" s="776"/>
      <c r="Y252" s="1621"/>
      <c r="Z252" s="776">
        <f t="shared" si="110"/>
        <v>0</v>
      </c>
      <c r="AA252" s="1620"/>
      <c r="AB252" s="1620"/>
      <c r="AC252" s="1620"/>
      <c r="AD252" s="1620"/>
      <c r="AE252" s="1620"/>
      <c r="AF252" s="1621"/>
      <c r="AG252" s="776"/>
      <c r="AH252" s="817"/>
      <c r="AK252" s="747"/>
      <c r="AL252" s="747"/>
      <c r="AM252" s="746"/>
    </row>
    <row r="253" spans="1:51" ht="25.5">
      <c r="A253" s="777">
        <v>1</v>
      </c>
      <c r="B253" s="1622" t="s">
        <v>393</v>
      </c>
      <c r="C253" s="1623"/>
      <c r="D253" s="1624"/>
      <c r="E253" s="1546"/>
      <c r="F253" s="1112" t="s">
        <v>387</v>
      </c>
      <c r="G253" s="1112" t="s">
        <v>33</v>
      </c>
      <c r="H253" s="358">
        <v>2017</v>
      </c>
      <c r="I253" s="1112"/>
      <c r="J253" s="1112" t="s">
        <v>394</v>
      </c>
      <c r="K253" s="438"/>
      <c r="L253" s="438"/>
      <c r="M253" s="185" t="s">
        <v>395</v>
      </c>
      <c r="N253" s="1625">
        <v>7671</v>
      </c>
      <c r="O253" s="1546"/>
      <c r="P253" s="1625">
        <v>7671</v>
      </c>
      <c r="Q253" s="781">
        <f>140+2475</f>
        <v>2615</v>
      </c>
      <c r="R253" s="781"/>
      <c r="S253" s="781">
        <f>Q253</f>
        <v>2615</v>
      </c>
      <c r="T253" s="781">
        <v>6904</v>
      </c>
      <c r="U253" s="781">
        <v>4429</v>
      </c>
      <c r="V253" s="776">
        <f>VLOOKUP($B253,QD!$B$9:$L$316,10,0)</f>
        <v>2215</v>
      </c>
      <c r="W253" s="776">
        <v>2214.5</v>
      </c>
      <c r="X253" s="776">
        <v>50</v>
      </c>
      <c r="Y253" s="782"/>
      <c r="Z253" s="776">
        <f t="shared" si="110"/>
        <v>2215</v>
      </c>
      <c r="AA253" s="775">
        <f t="shared" ref="AA253" si="127">Q253+$Z253</f>
        <v>4830</v>
      </c>
      <c r="AB253" s="775">
        <f t="shared" ref="AB253" si="128">R253+$Z253</f>
        <v>2215</v>
      </c>
      <c r="AC253" s="775">
        <f t="shared" ref="AC253" si="129">S253+$Z253</f>
        <v>4830</v>
      </c>
      <c r="AD253" s="775">
        <f t="shared" ref="AD253" si="130">T253</f>
        <v>6904</v>
      </c>
      <c r="AE253" s="775">
        <f t="shared" ref="AE253" si="131">U253-Z253</f>
        <v>2214</v>
      </c>
      <c r="AF253" s="782"/>
      <c r="AG253" s="776"/>
      <c r="AH253" s="933"/>
      <c r="AK253" s="747"/>
      <c r="AL253" s="747" t="s">
        <v>164</v>
      </c>
      <c r="AM253" s="746"/>
    </row>
    <row r="254" spans="1:51">
      <c r="A254" s="816" t="s">
        <v>471</v>
      </c>
      <c r="B254" s="817" t="s">
        <v>536</v>
      </c>
      <c r="C254" s="1623"/>
      <c r="D254" s="1624"/>
      <c r="E254" s="1546"/>
      <c r="F254" s="1112"/>
      <c r="G254" s="1112"/>
      <c r="H254" s="358"/>
      <c r="I254" s="1112"/>
      <c r="J254" s="1112"/>
      <c r="K254" s="438"/>
      <c r="L254" s="438"/>
      <c r="M254" s="185"/>
      <c r="N254" s="1625"/>
      <c r="O254" s="1546"/>
      <c r="P254" s="1546"/>
      <c r="Q254" s="781"/>
      <c r="R254" s="781"/>
      <c r="S254" s="781"/>
      <c r="T254" s="781"/>
      <c r="U254" s="781"/>
      <c r="V254" s="776">
        <f>VLOOKUP($B254,QD!$B$9:$L$316,10,0)</f>
        <v>0</v>
      </c>
      <c r="W254" s="776">
        <v>0</v>
      </c>
      <c r="X254" s="776">
        <v>0</v>
      </c>
      <c r="Y254" s="782"/>
      <c r="Z254" s="776">
        <f t="shared" si="110"/>
        <v>0</v>
      </c>
      <c r="AA254" s="775">
        <f t="shared" ref="AA254:AA256" si="132">Q254+$Z254</f>
        <v>0</v>
      </c>
      <c r="AB254" s="775">
        <f t="shared" ref="AB254:AB256" si="133">R254+$Z254</f>
        <v>0</v>
      </c>
      <c r="AC254" s="775">
        <f t="shared" ref="AC254:AC256" si="134">S254+$Z254</f>
        <v>0</v>
      </c>
      <c r="AD254" s="775">
        <f t="shared" ref="AD254:AD256" si="135">T254</f>
        <v>0</v>
      </c>
      <c r="AE254" s="775">
        <f t="shared" ref="AE254:AE256" si="136">U254-Z254</f>
        <v>0</v>
      </c>
      <c r="AF254" s="782"/>
      <c r="AG254" s="776"/>
      <c r="AH254" s="933"/>
      <c r="AK254" s="747"/>
      <c r="AL254" s="747"/>
      <c r="AM254" s="746"/>
    </row>
    <row r="255" spans="1:51" ht="25.5">
      <c r="A255" s="777">
        <v>1</v>
      </c>
      <c r="B255" s="1626" t="s">
        <v>396</v>
      </c>
      <c r="C255" s="1623"/>
      <c r="D255" s="1624"/>
      <c r="E255" s="1546"/>
      <c r="F255" s="1112" t="s">
        <v>387</v>
      </c>
      <c r="G255" s="1112" t="s">
        <v>33</v>
      </c>
      <c r="H255" s="358">
        <v>2018</v>
      </c>
      <c r="I255" s="1112"/>
      <c r="J255" s="1627" t="s">
        <v>398</v>
      </c>
      <c r="K255" s="438"/>
      <c r="L255" s="438"/>
      <c r="M255" s="185" t="s">
        <v>1082</v>
      </c>
      <c r="N255" s="1625">
        <f>P255</f>
        <v>9079</v>
      </c>
      <c r="O255" s="1546"/>
      <c r="P255" s="1625">
        <v>9079</v>
      </c>
      <c r="Q255" s="1625">
        <v>60</v>
      </c>
      <c r="R255" s="1625"/>
      <c r="S255" s="1625">
        <v>60</v>
      </c>
      <c r="T255" s="781">
        <v>8171</v>
      </c>
      <c r="U255" s="781">
        <v>8171</v>
      </c>
      <c r="V255" s="776">
        <f>VLOOKUP($B255,QD!$B$9:$L$316,10,0)</f>
        <v>2451</v>
      </c>
      <c r="W255" s="776">
        <v>2451.3000000000002</v>
      </c>
      <c r="X255" s="776">
        <v>30</v>
      </c>
      <c r="Y255" s="782"/>
      <c r="Z255" s="776">
        <f t="shared" si="110"/>
        <v>2451</v>
      </c>
      <c r="AA255" s="775">
        <f t="shared" si="132"/>
        <v>2511</v>
      </c>
      <c r="AB255" s="775">
        <f t="shared" si="133"/>
        <v>2451</v>
      </c>
      <c r="AC255" s="775">
        <f t="shared" si="134"/>
        <v>2511</v>
      </c>
      <c r="AD255" s="775">
        <f t="shared" si="135"/>
        <v>8171</v>
      </c>
      <c r="AE255" s="775">
        <f t="shared" si="136"/>
        <v>5720</v>
      </c>
      <c r="AF255" s="782"/>
      <c r="AG255" s="776"/>
      <c r="AH255" s="933"/>
      <c r="AK255" s="747" t="s">
        <v>2051</v>
      </c>
      <c r="AL255" s="747" t="s">
        <v>164</v>
      </c>
      <c r="AM255" s="746"/>
    </row>
    <row r="256" spans="1:51" ht="25.5">
      <c r="A256" s="777">
        <v>2</v>
      </c>
      <c r="B256" s="1626" t="s">
        <v>397</v>
      </c>
      <c r="C256" s="1623"/>
      <c r="D256" s="1624"/>
      <c r="E256" s="1546"/>
      <c r="F256" s="1112" t="s">
        <v>387</v>
      </c>
      <c r="G256" s="1112" t="s">
        <v>33</v>
      </c>
      <c r="H256" s="358">
        <v>2018</v>
      </c>
      <c r="I256" s="1112"/>
      <c r="J256" s="1627" t="s">
        <v>398</v>
      </c>
      <c r="K256" s="438"/>
      <c r="L256" s="438"/>
      <c r="M256" s="185" t="s">
        <v>1083</v>
      </c>
      <c r="N256" s="1625">
        <v>11000</v>
      </c>
      <c r="O256" s="1546"/>
      <c r="P256" s="1625">
        <v>11000</v>
      </c>
      <c r="Q256" s="1625">
        <v>60</v>
      </c>
      <c r="R256" s="1625"/>
      <c r="S256" s="1625">
        <v>60</v>
      </c>
      <c r="T256" s="1546">
        <v>9900</v>
      </c>
      <c r="U256" s="781">
        <v>9900</v>
      </c>
      <c r="V256" s="776">
        <f>VLOOKUP($B256,QD!$B$9:$L$316,10,0)</f>
        <v>2970</v>
      </c>
      <c r="W256" s="776">
        <v>2970</v>
      </c>
      <c r="X256" s="776">
        <v>30</v>
      </c>
      <c r="Y256" s="782"/>
      <c r="Z256" s="776">
        <f t="shared" si="110"/>
        <v>2970</v>
      </c>
      <c r="AA256" s="775">
        <f t="shared" si="132"/>
        <v>3030</v>
      </c>
      <c r="AB256" s="775">
        <f t="shared" si="133"/>
        <v>2970</v>
      </c>
      <c r="AC256" s="775">
        <f t="shared" si="134"/>
        <v>3030</v>
      </c>
      <c r="AD256" s="775">
        <f t="shared" si="135"/>
        <v>9900</v>
      </c>
      <c r="AE256" s="775">
        <f t="shared" si="136"/>
        <v>6930</v>
      </c>
      <c r="AF256" s="782"/>
      <c r="AG256" s="776"/>
      <c r="AH256" s="933"/>
      <c r="AK256" s="747" t="s">
        <v>2051</v>
      </c>
      <c r="AL256" s="747" t="s">
        <v>164</v>
      </c>
      <c r="AM256" s="746"/>
    </row>
    <row r="257" spans="1:39" s="1173" customFormat="1" ht="24.75" customHeight="1">
      <c r="A257" s="1033" t="s">
        <v>567</v>
      </c>
      <c r="B257" s="1034" t="s">
        <v>566</v>
      </c>
      <c r="C257" s="1035"/>
      <c r="D257" s="1035"/>
      <c r="E257" s="1033"/>
      <c r="F257" s="1033"/>
      <c r="G257" s="1035"/>
      <c r="H257" s="1036"/>
      <c r="I257" s="1036"/>
      <c r="J257" s="1037"/>
      <c r="K257" s="1037"/>
      <c r="L257" s="1034"/>
      <c r="M257" s="1033"/>
      <c r="N257" s="1038">
        <f t="shared" ref="N257:AE257" si="137">SUBTOTAL(9,N258:N279)</f>
        <v>1023225</v>
      </c>
      <c r="O257" s="1038">
        <f t="shared" si="137"/>
        <v>88130</v>
      </c>
      <c r="P257" s="1038">
        <f t="shared" si="137"/>
        <v>332661.2</v>
      </c>
      <c r="Q257" s="1038">
        <f t="shared" si="137"/>
        <v>677942</v>
      </c>
      <c r="R257" s="1038">
        <f t="shared" si="137"/>
        <v>96973</v>
      </c>
      <c r="S257" s="1038">
        <f t="shared" si="137"/>
        <v>251600</v>
      </c>
      <c r="T257" s="1038">
        <f t="shared" si="137"/>
        <v>100988</v>
      </c>
      <c r="U257" s="1038">
        <f t="shared" si="137"/>
        <v>48912</v>
      </c>
      <c r="V257" s="1038">
        <f t="shared" si="137"/>
        <v>18478</v>
      </c>
      <c r="W257" s="1038">
        <f t="shared" si="137"/>
        <v>18477.550000000156</v>
      </c>
      <c r="X257" s="1038"/>
      <c r="Y257" s="1038">
        <f t="shared" si="137"/>
        <v>19896</v>
      </c>
      <c r="Z257" s="1038">
        <f t="shared" si="137"/>
        <v>38374</v>
      </c>
      <c r="AA257" s="1038">
        <f t="shared" si="137"/>
        <v>716316</v>
      </c>
      <c r="AB257" s="1038">
        <f t="shared" si="137"/>
        <v>135347</v>
      </c>
      <c r="AC257" s="1038">
        <f t="shared" si="137"/>
        <v>289974</v>
      </c>
      <c r="AD257" s="1038">
        <f t="shared" si="137"/>
        <v>100988</v>
      </c>
      <c r="AE257" s="1038">
        <f t="shared" si="137"/>
        <v>10538</v>
      </c>
      <c r="AF257" s="1039"/>
      <c r="AG257" s="776"/>
      <c r="AH257" s="1038">
        <v>31994</v>
      </c>
      <c r="AI257" s="1628">
        <f>W257-AH257</f>
        <v>-13516.449999999844</v>
      </c>
      <c r="AK257" s="1174"/>
      <c r="AL257" s="1174"/>
      <c r="AM257" s="832"/>
    </row>
    <row r="258" spans="1:39" ht="51">
      <c r="A258" s="1040">
        <v>1</v>
      </c>
      <c r="B258" s="1041" t="s">
        <v>35</v>
      </c>
      <c r="C258" s="1041" t="s">
        <v>358</v>
      </c>
      <c r="D258" s="1042">
        <v>50388</v>
      </c>
      <c r="E258" s="1043" t="s">
        <v>37</v>
      </c>
      <c r="F258" s="1044" t="s">
        <v>350</v>
      </c>
      <c r="G258" s="1043" t="s">
        <v>9</v>
      </c>
      <c r="H258" s="1045">
        <v>2010</v>
      </c>
      <c r="I258" s="1046" t="s">
        <v>382</v>
      </c>
      <c r="J258" s="1045">
        <v>2016</v>
      </c>
      <c r="K258" s="1046" t="s">
        <v>368</v>
      </c>
      <c r="L258" s="1045"/>
      <c r="M258" s="1047" t="s">
        <v>36</v>
      </c>
      <c r="N258" s="1048">
        <v>52941</v>
      </c>
      <c r="O258" s="1048">
        <v>0</v>
      </c>
      <c r="P258" s="1048">
        <v>52941</v>
      </c>
      <c r="Q258" s="1048">
        <f>42616+1000</f>
        <v>43616</v>
      </c>
      <c r="R258" s="1048">
        <v>0</v>
      </c>
      <c r="S258" s="1048">
        <f>42616+1000</f>
        <v>43616</v>
      </c>
      <c r="T258" s="1048">
        <v>9348</v>
      </c>
      <c r="U258" s="1048">
        <f>5272-1000</f>
        <v>4272</v>
      </c>
      <c r="V258" s="776">
        <f>VLOOKUP($B258,QD!$B$9:$L$316,10,0)</f>
        <v>582</v>
      </c>
      <c r="W258" s="776">
        <v>581.59999999999991</v>
      </c>
      <c r="X258" s="776">
        <v>30</v>
      </c>
      <c r="Y258" s="1049">
        <v>3690</v>
      </c>
      <c r="Z258" s="776">
        <f t="shared" si="110"/>
        <v>4272</v>
      </c>
      <c r="AA258" s="775">
        <f t="shared" ref="AA258" si="138">Q258+$Z258</f>
        <v>47888</v>
      </c>
      <c r="AB258" s="775">
        <f t="shared" ref="AB258" si="139">R258+$Z258</f>
        <v>4272</v>
      </c>
      <c r="AC258" s="775">
        <f t="shared" ref="AC258" si="140">S258+$Z258</f>
        <v>47888</v>
      </c>
      <c r="AD258" s="775">
        <f t="shared" ref="AD258" si="141">T258</f>
        <v>9348</v>
      </c>
      <c r="AE258" s="775">
        <f t="shared" ref="AE258" si="142">U258-Z258</f>
        <v>0</v>
      </c>
      <c r="AF258" s="1049"/>
      <c r="AG258" s="776"/>
      <c r="AH258" s="1629"/>
      <c r="AK258" s="747"/>
      <c r="AL258" s="747"/>
      <c r="AM258" s="746"/>
    </row>
    <row r="259" spans="1:39" ht="38.25" customHeight="1">
      <c r="A259" s="1040">
        <v>2</v>
      </c>
      <c r="B259" s="1050" t="s">
        <v>40</v>
      </c>
      <c r="C259" s="1050" t="s">
        <v>359</v>
      </c>
      <c r="D259" s="1051">
        <v>15789.357</v>
      </c>
      <c r="E259" s="1043" t="s">
        <v>41</v>
      </c>
      <c r="F259" s="1044" t="s">
        <v>350</v>
      </c>
      <c r="G259" s="1043" t="s">
        <v>9</v>
      </c>
      <c r="H259" s="1045">
        <v>2010</v>
      </c>
      <c r="I259" s="1045">
        <v>2010</v>
      </c>
      <c r="J259" s="1045">
        <v>2012</v>
      </c>
      <c r="K259" s="1045">
        <v>2012</v>
      </c>
      <c r="L259" s="1045"/>
      <c r="M259" s="1052" t="s">
        <v>636</v>
      </c>
      <c r="N259" s="1048">
        <v>15990</v>
      </c>
      <c r="O259" s="1048">
        <v>0</v>
      </c>
      <c r="P259" s="1048">
        <v>15990</v>
      </c>
      <c r="Q259" s="1048">
        <v>15599</v>
      </c>
      <c r="R259" s="1048">
        <v>0</v>
      </c>
      <c r="S259" s="1048">
        <v>15599</v>
      </c>
      <c r="T259" s="1048">
        <v>2890</v>
      </c>
      <c r="U259" s="1048">
        <v>190</v>
      </c>
      <c r="V259" s="776">
        <f>VLOOKUP($B259,QD!$B$9:$L$316,10,0)</f>
        <v>190</v>
      </c>
      <c r="W259" s="776">
        <v>190</v>
      </c>
      <c r="X259" s="776">
        <v>100</v>
      </c>
      <c r="Y259" s="1049"/>
      <c r="Z259" s="776">
        <f t="shared" si="110"/>
        <v>190</v>
      </c>
      <c r="AA259" s="775">
        <f t="shared" ref="AA259:AA279" si="143">Q259+$Z259</f>
        <v>15789</v>
      </c>
      <c r="AB259" s="775">
        <f t="shared" ref="AB259:AB279" si="144">R259+$Z259</f>
        <v>190</v>
      </c>
      <c r="AC259" s="775">
        <f t="shared" ref="AC259:AC279" si="145">S259+$Z259</f>
        <v>15789</v>
      </c>
      <c r="AD259" s="775">
        <f t="shared" ref="AD259:AD279" si="146">T259</f>
        <v>2890</v>
      </c>
      <c r="AE259" s="775">
        <f t="shared" ref="AE259:AE279" si="147">U259-Z259</f>
        <v>0</v>
      </c>
      <c r="AF259" s="1049"/>
      <c r="AG259" s="776"/>
      <c r="AH259" s="1048"/>
      <c r="AK259" s="747"/>
      <c r="AL259" s="747"/>
      <c r="AM259" s="746"/>
    </row>
    <row r="260" spans="1:39" s="1173" customFormat="1" ht="38.25">
      <c r="A260" s="1053">
        <v>3</v>
      </c>
      <c r="B260" s="1054" t="s">
        <v>43</v>
      </c>
      <c r="C260" s="1054" t="s">
        <v>401</v>
      </c>
      <c r="D260" s="1055"/>
      <c r="E260" s="1056" t="s">
        <v>41</v>
      </c>
      <c r="F260" s="1057" t="s">
        <v>350</v>
      </c>
      <c r="G260" s="1058" t="s">
        <v>44</v>
      </c>
      <c r="H260" s="1059">
        <v>2010</v>
      </c>
      <c r="I260" s="1059">
        <v>2011</v>
      </c>
      <c r="J260" s="1059">
        <v>2013</v>
      </c>
      <c r="K260" s="1059">
        <v>2014</v>
      </c>
      <c r="L260" s="1059"/>
      <c r="M260" s="1060" t="s">
        <v>45</v>
      </c>
      <c r="N260" s="1061">
        <v>8753</v>
      </c>
      <c r="O260" s="1061">
        <v>0</v>
      </c>
      <c r="P260" s="1061">
        <v>8753</v>
      </c>
      <c r="Q260" s="1061">
        <v>5840</v>
      </c>
      <c r="R260" s="1061">
        <v>0</v>
      </c>
      <c r="S260" s="1061">
        <v>5840</v>
      </c>
      <c r="T260" s="1061">
        <v>2770</v>
      </c>
      <c r="U260" s="1061">
        <v>209</v>
      </c>
      <c r="V260" s="776">
        <f>VLOOKUP($B260,QD!$B$9:$L$316,10,0)</f>
        <v>209</v>
      </c>
      <c r="W260" s="776">
        <v>209</v>
      </c>
      <c r="X260" s="776">
        <v>100</v>
      </c>
      <c r="Y260" s="1062"/>
      <c r="Z260" s="776">
        <f t="shared" si="110"/>
        <v>209</v>
      </c>
      <c r="AA260" s="775">
        <f t="shared" si="143"/>
        <v>6049</v>
      </c>
      <c r="AB260" s="775">
        <f t="shared" si="144"/>
        <v>209</v>
      </c>
      <c r="AC260" s="775">
        <f t="shared" si="145"/>
        <v>6049</v>
      </c>
      <c r="AD260" s="775">
        <f t="shared" si="146"/>
        <v>2770</v>
      </c>
      <c r="AE260" s="775">
        <f t="shared" si="147"/>
        <v>0</v>
      </c>
      <c r="AF260" s="1062"/>
      <c r="AG260" s="821"/>
      <c r="AH260" s="1061" t="s">
        <v>684</v>
      </c>
      <c r="AK260" s="1174"/>
      <c r="AL260" s="1174"/>
      <c r="AM260" s="832"/>
    </row>
    <row r="261" spans="1:39" ht="38.25" customHeight="1">
      <c r="A261" s="1040">
        <v>4</v>
      </c>
      <c r="B261" s="1050" t="s">
        <v>42</v>
      </c>
      <c r="C261" s="1050" t="s">
        <v>377</v>
      </c>
      <c r="D261" s="1063">
        <v>32737.117999999999</v>
      </c>
      <c r="E261" s="1043" t="s">
        <v>41</v>
      </c>
      <c r="F261" s="1044" t="s">
        <v>350</v>
      </c>
      <c r="G261" s="1043" t="s">
        <v>33</v>
      </c>
      <c r="H261" s="1045">
        <v>2012</v>
      </c>
      <c r="I261" s="1046" t="s">
        <v>378</v>
      </c>
      <c r="J261" s="1045">
        <v>2013</v>
      </c>
      <c r="K261" s="1046" t="s">
        <v>361</v>
      </c>
      <c r="L261" s="1045"/>
      <c r="M261" s="1064" t="s">
        <v>648</v>
      </c>
      <c r="N261" s="1048">
        <v>38908</v>
      </c>
      <c r="O261" s="1048">
        <v>0</v>
      </c>
      <c r="P261" s="1048">
        <v>3280</v>
      </c>
      <c r="Q261" s="1048">
        <v>32338</v>
      </c>
      <c r="R261" s="1048">
        <v>0</v>
      </c>
      <c r="S261" s="1048">
        <v>2938</v>
      </c>
      <c r="T261" s="1048">
        <v>2995</v>
      </c>
      <c r="U261" s="1048">
        <v>537</v>
      </c>
      <c r="V261" s="776">
        <f>VLOOKUP($B261,QD!$B$9:$L$316,10,0)</f>
        <v>537</v>
      </c>
      <c r="W261" s="776">
        <v>537</v>
      </c>
      <c r="X261" s="776">
        <v>100</v>
      </c>
      <c r="Y261" s="1049"/>
      <c r="Z261" s="776">
        <f t="shared" si="110"/>
        <v>537</v>
      </c>
      <c r="AA261" s="775">
        <f t="shared" si="143"/>
        <v>32875</v>
      </c>
      <c r="AB261" s="775">
        <f t="shared" si="144"/>
        <v>537</v>
      </c>
      <c r="AC261" s="775">
        <f t="shared" si="145"/>
        <v>3475</v>
      </c>
      <c r="AD261" s="775">
        <f t="shared" si="146"/>
        <v>2995</v>
      </c>
      <c r="AE261" s="775">
        <f t="shared" si="147"/>
        <v>0</v>
      </c>
      <c r="AF261" s="1049"/>
      <c r="AG261" s="776"/>
      <c r="AH261" s="1048"/>
      <c r="AK261" s="747"/>
      <c r="AL261" s="747"/>
      <c r="AM261" s="746"/>
    </row>
    <row r="262" spans="1:39" ht="63.75">
      <c r="A262" s="1040">
        <v>5</v>
      </c>
      <c r="B262" s="1065" t="s">
        <v>465</v>
      </c>
      <c r="C262" s="1066" t="s">
        <v>467</v>
      </c>
      <c r="D262" s="1042">
        <v>6013</v>
      </c>
      <c r="E262" s="1043" t="s">
        <v>37</v>
      </c>
      <c r="F262" s="1044" t="s">
        <v>350</v>
      </c>
      <c r="G262" s="1043" t="s">
        <v>33</v>
      </c>
      <c r="H262" s="1045">
        <v>2011</v>
      </c>
      <c r="I262" s="1045"/>
      <c r="J262" s="1045">
        <v>2015</v>
      </c>
      <c r="K262" s="1045"/>
      <c r="L262" s="1045"/>
      <c r="M262" s="1067" t="s">
        <v>466</v>
      </c>
      <c r="N262" s="1048">
        <v>19577</v>
      </c>
      <c r="O262" s="1048">
        <v>0</v>
      </c>
      <c r="P262" s="1048">
        <v>4013</v>
      </c>
      <c r="Q262" s="1061">
        <f>4600+1100</f>
        <v>5700</v>
      </c>
      <c r="R262" s="1061">
        <v>0</v>
      </c>
      <c r="S262" s="1061">
        <f>2600+1100</f>
        <v>3700</v>
      </c>
      <c r="T262" s="1048">
        <v>3513</v>
      </c>
      <c r="U262" s="1048">
        <f>2513-1100</f>
        <v>1413</v>
      </c>
      <c r="V262" s="776">
        <f>VLOOKUP($B262,QD!$B$9:$L$316,10,0)</f>
        <v>1413</v>
      </c>
      <c r="W262" s="776">
        <v>1413</v>
      </c>
      <c r="X262" s="776">
        <v>100</v>
      </c>
      <c r="Y262" s="1049"/>
      <c r="Z262" s="776">
        <f t="shared" si="110"/>
        <v>1413</v>
      </c>
      <c r="AA262" s="775">
        <f t="shared" si="143"/>
        <v>7113</v>
      </c>
      <c r="AB262" s="775">
        <f t="shared" si="144"/>
        <v>1413</v>
      </c>
      <c r="AC262" s="775">
        <f t="shared" si="145"/>
        <v>5113</v>
      </c>
      <c r="AD262" s="775">
        <f t="shared" si="146"/>
        <v>3513</v>
      </c>
      <c r="AE262" s="775">
        <f t="shared" si="147"/>
        <v>0</v>
      </c>
      <c r="AF262" s="1049"/>
      <c r="AG262" s="776"/>
      <c r="AH262" s="1048" t="s">
        <v>780</v>
      </c>
      <c r="AK262" s="747"/>
      <c r="AL262" s="747"/>
      <c r="AM262" s="746"/>
    </row>
    <row r="263" spans="1:39" ht="38.25">
      <c r="A263" s="1040">
        <v>6</v>
      </c>
      <c r="B263" s="1065" t="s">
        <v>463</v>
      </c>
      <c r="C263" s="1065"/>
      <c r="D263" s="1065"/>
      <c r="E263" s="1043" t="s">
        <v>37</v>
      </c>
      <c r="F263" s="1044" t="s">
        <v>350</v>
      </c>
      <c r="G263" s="1043" t="s">
        <v>9</v>
      </c>
      <c r="H263" s="1045">
        <v>2010</v>
      </c>
      <c r="I263" s="1045"/>
      <c r="J263" s="1045">
        <v>2014</v>
      </c>
      <c r="K263" s="1045"/>
      <c r="L263" s="1045"/>
      <c r="M263" s="1068" t="s">
        <v>464</v>
      </c>
      <c r="N263" s="1048">
        <v>175084</v>
      </c>
      <c r="O263" s="1048">
        <v>0</v>
      </c>
      <c r="P263" s="1048">
        <v>113063</v>
      </c>
      <c r="Q263" s="1061">
        <v>166695</v>
      </c>
      <c r="R263" s="1048">
        <v>0</v>
      </c>
      <c r="S263" s="1048">
        <v>103954</v>
      </c>
      <c r="T263" s="1048">
        <v>2121</v>
      </c>
      <c r="U263" s="1048">
        <v>1121</v>
      </c>
      <c r="V263" s="776">
        <f>VLOOKUP($B263,QD!$B$9:$L$316,10,0)</f>
        <v>1121</v>
      </c>
      <c r="W263" s="776">
        <v>1121</v>
      </c>
      <c r="X263" s="776">
        <v>100</v>
      </c>
      <c r="Y263" s="1049"/>
      <c r="Z263" s="776">
        <f t="shared" si="110"/>
        <v>1121</v>
      </c>
      <c r="AA263" s="775">
        <f t="shared" si="143"/>
        <v>167816</v>
      </c>
      <c r="AB263" s="775">
        <f t="shared" si="144"/>
        <v>1121</v>
      </c>
      <c r="AC263" s="775">
        <f t="shared" si="145"/>
        <v>105075</v>
      </c>
      <c r="AD263" s="775">
        <f t="shared" si="146"/>
        <v>2121</v>
      </c>
      <c r="AE263" s="775">
        <f t="shared" si="147"/>
        <v>0</v>
      </c>
      <c r="AF263" s="1049"/>
      <c r="AG263" s="776"/>
      <c r="AH263" s="1048" t="s">
        <v>780</v>
      </c>
      <c r="AK263" s="747"/>
      <c r="AL263" s="747"/>
      <c r="AM263" s="746"/>
    </row>
    <row r="264" spans="1:39" ht="38.25">
      <c r="A264" s="1040">
        <v>7</v>
      </c>
      <c r="B264" s="1065" t="s">
        <v>474</v>
      </c>
      <c r="C264" s="1065"/>
      <c r="D264" s="1065"/>
      <c r="E264" s="1043" t="s">
        <v>37</v>
      </c>
      <c r="F264" s="1044" t="s">
        <v>350</v>
      </c>
      <c r="G264" s="1069" t="s">
        <v>46</v>
      </c>
      <c r="H264" s="1045">
        <v>2011</v>
      </c>
      <c r="I264" s="1045"/>
      <c r="J264" s="1045">
        <v>2012</v>
      </c>
      <c r="K264" s="1045"/>
      <c r="L264" s="1045"/>
      <c r="M264" s="1070" t="s">
        <v>649</v>
      </c>
      <c r="N264" s="1048">
        <v>18047</v>
      </c>
      <c r="O264" s="1048">
        <v>0</v>
      </c>
      <c r="P264" s="1048">
        <v>3980</v>
      </c>
      <c r="Q264" s="1048">
        <v>17000</v>
      </c>
      <c r="R264" s="1048">
        <v>0</v>
      </c>
      <c r="S264" s="1048">
        <v>2000</v>
      </c>
      <c r="T264" s="1048">
        <v>1980</v>
      </c>
      <c r="U264" s="1048">
        <v>980</v>
      </c>
      <c r="V264" s="776">
        <f>VLOOKUP($B264,QD!$B$9:$L$316,10,0)</f>
        <v>980</v>
      </c>
      <c r="W264" s="776">
        <v>980</v>
      </c>
      <c r="X264" s="776">
        <v>100</v>
      </c>
      <c r="Y264" s="1049"/>
      <c r="Z264" s="776">
        <f t="shared" si="110"/>
        <v>980</v>
      </c>
      <c r="AA264" s="775">
        <f t="shared" si="143"/>
        <v>17980</v>
      </c>
      <c r="AB264" s="775">
        <f t="shared" si="144"/>
        <v>980</v>
      </c>
      <c r="AC264" s="775">
        <f t="shared" si="145"/>
        <v>2980</v>
      </c>
      <c r="AD264" s="775">
        <f t="shared" si="146"/>
        <v>1980</v>
      </c>
      <c r="AE264" s="775">
        <f t="shared" si="147"/>
        <v>0</v>
      </c>
      <c r="AF264" s="1049"/>
      <c r="AG264" s="776"/>
      <c r="AH264" s="1048"/>
      <c r="AK264" s="747"/>
      <c r="AL264" s="747"/>
      <c r="AM264" s="746"/>
    </row>
    <row r="265" spans="1:39" ht="25.5">
      <c r="A265" s="1040">
        <v>8</v>
      </c>
      <c r="B265" s="1071" t="s">
        <v>62</v>
      </c>
      <c r="C265" s="1071" t="s">
        <v>363</v>
      </c>
      <c r="D265" s="1072"/>
      <c r="E265" s="1043" t="s">
        <v>41</v>
      </c>
      <c r="F265" s="1044" t="s">
        <v>350</v>
      </c>
      <c r="G265" s="1073" t="s">
        <v>17</v>
      </c>
      <c r="H265" s="1074">
        <v>2012</v>
      </c>
      <c r="I265" s="1074"/>
      <c r="J265" s="1074" t="s">
        <v>344</v>
      </c>
      <c r="K265" s="1074"/>
      <c r="L265" s="1074"/>
      <c r="M265" s="1068" t="s">
        <v>345</v>
      </c>
      <c r="N265" s="1048">
        <v>51192</v>
      </c>
      <c r="O265" s="1048">
        <v>0</v>
      </c>
      <c r="P265" s="1048">
        <v>1900</v>
      </c>
      <c r="Q265" s="1048">
        <f>32000+900</f>
        <v>32900</v>
      </c>
      <c r="R265" s="1048">
        <v>0</v>
      </c>
      <c r="S265" s="1048">
        <f>1000+900</f>
        <v>1900</v>
      </c>
      <c r="T265" s="1048">
        <v>1900</v>
      </c>
      <c r="U265" s="1048">
        <f>900-900</f>
        <v>0</v>
      </c>
      <c r="V265" s="776">
        <v>0</v>
      </c>
      <c r="W265" s="776">
        <v>0</v>
      </c>
      <c r="X265" s="776">
        <v>100</v>
      </c>
      <c r="Y265" s="1049"/>
      <c r="Z265" s="776">
        <f t="shared" si="110"/>
        <v>0</v>
      </c>
      <c r="AA265" s="775">
        <f t="shared" si="143"/>
        <v>32900</v>
      </c>
      <c r="AB265" s="775">
        <f t="shared" si="144"/>
        <v>0</v>
      </c>
      <c r="AC265" s="775">
        <f t="shared" si="145"/>
        <v>1900</v>
      </c>
      <c r="AD265" s="775">
        <f t="shared" si="146"/>
        <v>1900</v>
      </c>
      <c r="AE265" s="775">
        <f t="shared" si="147"/>
        <v>0</v>
      </c>
      <c r="AF265" s="1049"/>
      <c r="AG265" s="776"/>
      <c r="AH265" s="1048"/>
      <c r="AK265" s="747"/>
      <c r="AL265" s="747"/>
      <c r="AM265" s="746"/>
    </row>
    <row r="266" spans="1:39" ht="25.5">
      <c r="A266" s="1040">
        <v>9</v>
      </c>
      <c r="B266" s="1075" t="s">
        <v>461</v>
      </c>
      <c r="C266" s="1065" t="s">
        <v>363</v>
      </c>
      <c r="D266" s="1042">
        <v>100616</v>
      </c>
      <c r="E266" s="1076" t="s">
        <v>50</v>
      </c>
      <c r="F266" s="1044" t="s">
        <v>350</v>
      </c>
      <c r="G266" s="1043" t="s">
        <v>33</v>
      </c>
      <c r="H266" s="1045">
        <v>2008</v>
      </c>
      <c r="I266" s="1077"/>
      <c r="J266" s="1045">
        <v>2014</v>
      </c>
      <c r="K266" s="1046" t="s">
        <v>399</v>
      </c>
      <c r="L266" s="1045"/>
      <c r="M266" s="1045" t="s">
        <v>462</v>
      </c>
      <c r="N266" s="1048">
        <v>112794</v>
      </c>
      <c r="O266" s="1048">
        <v>88130</v>
      </c>
      <c r="P266" s="1048">
        <v>24664</v>
      </c>
      <c r="Q266" s="1048">
        <f>90130+1000</f>
        <v>91130</v>
      </c>
      <c r="R266" s="1048">
        <v>88130</v>
      </c>
      <c r="S266" s="1048">
        <f>2000+1000</f>
        <v>3000</v>
      </c>
      <c r="T266" s="1048">
        <v>8649</v>
      </c>
      <c r="U266" s="1048">
        <f>6649-1000</f>
        <v>5649</v>
      </c>
      <c r="V266" s="776">
        <f>VLOOKUP($B266,QD!$B$9:$L$316,10,0)</f>
        <v>995</v>
      </c>
      <c r="W266" s="776">
        <v>994.7</v>
      </c>
      <c r="X266" s="776">
        <v>30</v>
      </c>
      <c r="Y266" s="1049">
        <v>4654</v>
      </c>
      <c r="Z266" s="776">
        <f t="shared" si="110"/>
        <v>5649</v>
      </c>
      <c r="AA266" s="775">
        <f t="shared" si="143"/>
        <v>96779</v>
      </c>
      <c r="AB266" s="775">
        <f t="shared" si="144"/>
        <v>93779</v>
      </c>
      <c r="AC266" s="775">
        <f t="shared" si="145"/>
        <v>8649</v>
      </c>
      <c r="AD266" s="775">
        <f t="shared" si="146"/>
        <v>8649</v>
      </c>
      <c r="AE266" s="775">
        <f t="shared" si="147"/>
        <v>0</v>
      </c>
      <c r="AF266" s="1049"/>
      <c r="AG266" s="776"/>
      <c r="AH266" s="1048"/>
      <c r="AK266" s="747"/>
      <c r="AL266" s="747"/>
      <c r="AM266" s="746"/>
    </row>
    <row r="267" spans="1:39" ht="51">
      <c r="A267" s="1040">
        <v>10</v>
      </c>
      <c r="B267" s="1078" t="s">
        <v>51</v>
      </c>
      <c r="C267" s="1078" t="s">
        <v>392</v>
      </c>
      <c r="D267" s="1078">
        <v>153137</v>
      </c>
      <c r="E267" s="1043" t="s">
        <v>50</v>
      </c>
      <c r="F267" s="1044" t="s">
        <v>350</v>
      </c>
      <c r="G267" s="1043" t="s">
        <v>355</v>
      </c>
      <c r="H267" s="1045">
        <v>2010</v>
      </c>
      <c r="I267" s="1045">
        <v>2010</v>
      </c>
      <c r="J267" s="1045">
        <v>2016</v>
      </c>
      <c r="K267" s="1045">
        <v>2014</v>
      </c>
      <c r="L267" s="1045"/>
      <c r="M267" s="1079" t="s">
        <v>52</v>
      </c>
      <c r="N267" s="1048">
        <v>257147</v>
      </c>
      <c r="O267" s="1048">
        <v>0</v>
      </c>
      <c r="P267" s="1048">
        <v>50000</v>
      </c>
      <c r="Q267" s="1061">
        <f>50000+5000+19000+3500+3500</f>
        <v>81000</v>
      </c>
      <c r="R267" s="1061">
        <v>0</v>
      </c>
      <c r="S267" s="1061">
        <f>8500+3500</f>
        <v>12000</v>
      </c>
      <c r="T267" s="1048">
        <v>20000</v>
      </c>
      <c r="U267" s="1048">
        <f>15000-3500</f>
        <v>11500</v>
      </c>
      <c r="V267" s="776">
        <f>VLOOKUP($B267,QD!$B$9:$L$316,10,0)</f>
        <v>1000</v>
      </c>
      <c r="W267" s="776">
        <v>1000</v>
      </c>
      <c r="X267" s="776">
        <v>30</v>
      </c>
      <c r="Y267" s="1049">
        <v>5250</v>
      </c>
      <c r="Z267" s="776">
        <f t="shared" si="110"/>
        <v>6250</v>
      </c>
      <c r="AA267" s="775">
        <f t="shared" si="143"/>
        <v>87250</v>
      </c>
      <c r="AB267" s="775">
        <f t="shared" si="144"/>
        <v>6250</v>
      </c>
      <c r="AC267" s="775">
        <f t="shared" si="145"/>
        <v>18250</v>
      </c>
      <c r="AD267" s="775">
        <f t="shared" si="146"/>
        <v>20000</v>
      </c>
      <c r="AE267" s="775">
        <f t="shared" si="147"/>
        <v>5250</v>
      </c>
      <c r="AF267" s="1049"/>
      <c r="AG267" s="776"/>
      <c r="AH267" s="1048" t="s">
        <v>780</v>
      </c>
      <c r="AK267" s="747"/>
      <c r="AL267" s="747"/>
      <c r="AM267" s="746"/>
    </row>
    <row r="268" spans="1:39" ht="38.25">
      <c r="A268" s="1040">
        <v>11</v>
      </c>
      <c r="B268" s="1065" t="s">
        <v>59</v>
      </c>
      <c r="C268" s="1065" t="s">
        <v>363</v>
      </c>
      <c r="D268" s="1080">
        <v>21720</v>
      </c>
      <c r="E268" s="1043" t="s">
        <v>37</v>
      </c>
      <c r="F268" s="1044" t="s">
        <v>350</v>
      </c>
      <c r="G268" s="1043" t="s">
        <v>9</v>
      </c>
      <c r="H268" s="1045">
        <v>2013</v>
      </c>
      <c r="I268" s="1045">
        <v>2013</v>
      </c>
      <c r="J268" s="1045">
        <v>2014</v>
      </c>
      <c r="K268" s="1045">
        <v>2014</v>
      </c>
      <c r="L268" s="1045"/>
      <c r="M268" s="1068" t="s">
        <v>60</v>
      </c>
      <c r="N268" s="1048">
        <v>35209</v>
      </c>
      <c r="O268" s="1048">
        <v>0</v>
      </c>
      <c r="P268" s="1048">
        <v>21720</v>
      </c>
      <c r="Q268" s="1048">
        <f>21150+1000</f>
        <v>22150</v>
      </c>
      <c r="R268" s="1048">
        <v>0</v>
      </c>
      <c r="S268" s="1048">
        <f>21150+1000</f>
        <v>22150</v>
      </c>
      <c r="T268" s="1048">
        <v>2570</v>
      </c>
      <c r="U268" s="1048">
        <f>1570-1000</f>
        <v>570</v>
      </c>
      <c r="V268" s="776">
        <f>VLOOKUP($B268,QD!$B$9:$L$316,10,0)</f>
        <v>570</v>
      </c>
      <c r="W268" s="776">
        <v>570</v>
      </c>
      <c r="X268" s="776">
        <v>100</v>
      </c>
      <c r="Y268" s="1049"/>
      <c r="Z268" s="776">
        <f t="shared" si="110"/>
        <v>570</v>
      </c>
      <c r="AA268" s="775">
        <f t="shared" si="143"/>
        <v>22720</v>
      </c>
      <c r="AB268" s="775">
        <f t="shared" si="144"/>
        <v>570</v>
      </c>
      <c r="AC268" s="775">
        <f t="shared" si="145"/>
        <v>22720</v>
      </c>
      <c r="AD268" s="775">
        <f t="shared" si="146"/>
        <v>2570</v>
      </c>
      <c r="AE268" s="775">
        <f t="shared" si="147"/>
        <v>0</v>
      </c>
      <c r="AF268" s="1049"/>
      <c r="AG268" s="776"/>
      <c r="AH268" s="1048"/>
      <c r="AK268" s="747"/>
      <c r="AL268" s="747"/>
      <c r="AM268" s="746"/>
    </row>
    <row r="269" spans="1:39" ht="25.5">
      <c r="A269" s="1040">
        <v>12</v>
      </c>
      <c r="B269" s="1065" t="s">
        <v>65</v>
      </c>
      <c r="C269" s="1065"/>
      <c r="D269" s="1081"/>
      <c r="E269" s="1043" t="s">
        <v>37</v>
      </c>
      <c r="F269" s="1044" t="s">
        <v>350</v>
      </c>
      <c r="G269" s="1068" t="s">
        <v>44</v>
      </c>
      <c r="H269" s="1045">
        <v>2014</v>
      </c>
      <c r="I269" s="1045">
        <v>2015</v>
      </c>
      <c r="J269" s="1045">
        <v>2016</v>
      </c>
      <c r="K269" s="1045" t="s">
        <v>399</v>
      </c>
      <c r="L269" s="1045"/>
      <c r="M269" s="1068" t="s">
        <v>66</v>
      </c>
      <c r="N269" s="1048">
        <v>3735</v>
      </c>
      <c r="O269" s="1048">
        <v>0</v>
      </c>
      <c r="P269" s="1048">
        <v>3361</v>
      </c>
      <c r="Q269" s="1048">
        <v>3300</v>
      </c>
      <c r="R269" s="1048">
        <v>0</v>
      </c>
      <c r="S269" s="1048">
        <v>3300</v>
      </c>
      <c r="T269" s="1048">
        <v>1061</v>
      </c>
      <c r="U269" s="1048">
        <v>61</v>
      </c>
      <c r="V269" s="776">
        <f>VLOOKUP($B269,QD!$B$9:$L$316,10,0)</f>
        <v>61</v>
      </c>
      <c r="W269" s="776">
        <v>61</v>
      </c>
      <c r="X269" s="776">
        <v>100</v>
      </c>
      <c r="Y269" s="1049"/>
      <c r="Z269" s="776">
        <f t="shared" si="110"/>
        <v>61</v>
      </c>
      <c r="AA269" s="775">
        <f t="shared" si="143"/>
        <v>3361</v>
      </c>
      <c r="AB269" s="775">
        <f t="shared" si="144"/>
        <v>61</v>
      </c>
      <c r="AC269" s="775">
        <f t="shared" si="145"/>
        <v>3361</v>
      </c>
      <c r="AD269" s="775">
        <f t="shared" si="146"/>
        <v>1061</v>
      </c>
      <c r="AE269" s="775">
        <f t="shared" si="147"/>
        <v>0</v>
      </c>
      <c r="AF269" s="1049"/>
      <c r="AG269" s="776"/>
      <c r="AH269" s="1048"/>
      <c r="AK269" s="747"/>
      <c r="AL269" s="747"/>
      <c r="AM269" s="746"/>
    </row>
    <row r="270" spans="1:39">
      <c r="A270" s="1040">
        <v>13</v>
      </c>
      <c r="B270" s="1071" t="s">
        <v>55</v>
      </c>
      <c r="C270" s="1071"/>
      <c r="D270" s="1071"/>
      <c r="E270" s="1043" t="s">
        <v>164</v>
      </c>
      <c r="F270" s="1044" t="s">
        <v>350</v>
      </c>
      <c r="G270" s="1043" t="s">
        <v>355</v>
      </c>
      <c r="H270" s="1082" t="s">
        <v>342</v>
      </c>
      <c r="I270" s="1082"/>
      <c r="J270" s="1074" t="s">
        <v>342</v>
      </c>
      <c r="K270" s="1074"/>
      <c r="L270" s="1074"/>
      <c r="M270" s="1083"/>
      <c r="N270" s="1048">
        <v>0</v>
      </c>
      <c r="O270" s="1048">
        <v>0</v>
      </c>
      <c r="P270" s="1048">
        <v>0</v>
      </c>
      <c r="Q270" s="1048">
        <v>1000</v>
      </c>
      <c r="R270" s="1048">
        <v>0</v>
      </c>
      <c r="S270" s="1048">
        <v>1000</v>
      </c>
      <c r="T270" s="1048">
        <v>3300</v>
      </c>
      <c r="U270" s="1048">
        <v>2300</v>
      </c>
      <c r="V270" s="776">
        <f>VLOOKUP($B270,QD!$B$9:$L$316,10,0)</f>
        <v>2300</v>
      </c>
      <c r="W270" s="776">
        <v>2300</v>
      </c>
      <c r="X270" s="776">
        <v>100</v>
      </c>
      <c r="Y270" s="1049"/>
      <c r="Z270" s="776">
        <f t="shared" si="110"/>
        <v>2300</v>
      </c>
      <c r="AA270" s="775">
        <f t="shared" si="143"/>
        <v>3300</v>
      </c>
      <c r="AB270" s="775">
        <f t="shared" si="144"/>
        <v>2300</v>
      </c>
      <c r="AC270" s="775">
        <f t="shared" si="145"/>
        <v>3300</v>
      </c>
      <c r="AD270" s="775">
        <f t="shared" si="146"/>
        <v>3300</v>
      </c>
      <c r="AE270" s="775">
        <f t="shared" si="147"/>
        <v>0</v>
      </c>
      <c r="AF270" s="1049"/>
      <c r="AG270" s="776"/>
      <c r="AH270" s="1048"/>
      <c r="AK270" s="747"/>
      <c r="AL270" s="747"/>
      <c r="AM270" s="746"/>
    </row>
    <row r="271" spans="1:39" ht="52.5" customHeight="1">
      <c r="A271" s="1040">
        <v>14</v>
      </c>
      <c r="B271" s="1065" t="s">
        <v>53</v>
      </c>
      <c r="C271" s="1084" t="s">
        <v>369</v>
      </c>
      <c r="D271" s="1063">
        <v>14899</v>
      </c>
      <c r="E271" s="1043" t="s">
        <v>41</v>
      </c>
      <c r="F271" s="1044" t="s">
        <v>350</v>
      </c>
      <c r="G271" s="1069" t="s">
        <v>46</v>
      </c>
      <c r="H271" s="1045">
        <v>2009</v>
      </c>
      <c r="I271" s="1045">
        <v>2009</v>
      </c>
      <c r="J271" s="1045">
        <v>2012</v>
      </c>
      <c r="K271" s="1045">
        <v>2012</v>
      </c>
      <c r="L271" s="1045"/>
      <c r="M271" s="1070" t="s">
        <v>54</v>
      </c>
      <c r="N271" s="1048">
        <v>17000</v>
      </c>
      <c r="O271" s="1048">
        <v>0</v>
      </c>
      <c r="P271" s="1048">
        <v>4190</v>
      </c>
      <c r="Q271" s="1048">
        <f>11757+2056</f>
        <v>13813</v>
      </c>
      <c r="R271" s="1048">
        <v>0</v>
      </c>
      <c r="S271" s="1048">
        <f>1047+2056</f>
        <v>3103</v>
      </c>
      <c r="T271" s="1048">
        <v>4190</v>
      </c>
      <c r="U271" s="1048">
        <f>3143-2056</f>
        <v>1087</v>
      </c>
      <c r="V271" s="776">
        <f>VLOOKUP($B271,QD!$B$9:$L$316,10,0)</f>
        <v>1087</v>
      </c>
      <c r="W271" s="776">
        <v>1087</v>
      </c>
      <c r="X271" s="776">
        <v>100</v>
      </c>
      <c r="Y271" s="1049"/>
      <c r="Z271" s="776">
        <f t="shared" si="110"/>
        <v>1087</v>
      </c>
      <c r="AA271" s="775">
        <f t="shared" si="143"/>
        <v>14900</v>
      </c>
      <c r="AB271" s="775">
        <f t="shared" si="144"/>
        <v>1087</v>
      </c>
      <c r="AC271" s="775">
        <f t="shared" si="145"/>
        <v>4190</v>
      </c>
      <c r="AD271" s="775">
        <f t="shared" si="146"/>
        <v>4190</v>
      </c>
      <c r="AE271" s="775">
        <f t="shared" si="147"/>
        <v>0</v>
      </c>
      <c r="AF271" s="1049"/>
      <c r="AG271" s="776"/>
      <c r="AH271" s="1048"/>
      <c r="AK271" s="747"/>
      <c r="AL271" s="747"/>
      <c r="AM271" s="746"/>
    </row>
    <row r="272" spans="1:39" ht="89.25" customHeight="1">
      <c r="A272" s="1040">
        <v>15</v>
      </c>
      <c r="B272" s="1065" t="s">
        <v>63</v>
      </c>
      <c r="C272" s="1065" t="s">
        <v>375</v>
      </c>
      <c r="D272" s="1063">
        <v>25302.133999999998</v>
      </c>
      <c r="E272" s="1043" t="s">
        <v>41</v>
      </c>
      <c r="F272" s="1044" t="s">
        <v>350</v>
      </c>
      <c r="G272" s="1043" t="s">
        <v>33</v>
      </c>
      <c r="H272" s="1045">
        <v>2011</v>
      </c>
      <c r="I272" s="1046" t="s">
        <v>360</v>
      </c>
      <c r="J272" s="1045">
        <v>2012</v>
      </c>
      <c r="K272" s="1046" t="s">
        <v>376</v>
      </c>
      <c r="L272" s="1045"/>
      <c r="M272" s="1070" t="s">
        <v>64</v>
      </c>
      <c r="N272" s="1048">
        <v>27139</v>
      </c>
      <c r="O272" s="1048">
        <v>0</v>
      </c>
      <c r="P272" s="1048">
        <v>1802</v>
      </c>
      <c r="Q272" s="1048">
        <v>24500</v>
      </c>
      <c r="R272" s="1048">
        <v>0</v>
      </c>
      <c r="S272" s="1048">
        <v>1000</v>
      </c>
      <c r="T272" s="1048">
        <v>1802</v>
      </c>
      <c r="U272" s="1048">
        <v>802</v>
      </c>
      <c r="V272" s="776">
        <f>VLOOKUP($B272,QD!$B$9:$L$316,10,0)</f>
        <v>802</v>
      </c>
      <c r="W272" s="776">
        <v>802</v>
      </c>
      <c r="X272" s="776">
        <v>100</v>
      </c>
      <c r="Y272" s="1049"/>
      <c r="Z272" s="776">
        <f t="shared" si="110"/>
        <v>802</v>
      </c>
      <c r="AA272" s="775">
        <f t="shared" si="143"/>
        <v>25302</v>
      </c>
      <c r="AB272" s="775">
        <f t="shared" si="144"/>
        <v>802</v>
      </c>
      <c r="AC272" s="775">
        <f t="shared" si="145"/>
        <v>1802</v>
      </c>
      <c r="AD272" s="775">
        <f t="shared" si="146"/>
        <v>1802</v>
      </c>
      <c r="AE272" s="775">
        <f t="shared" si="147"/>
        <v>0</v>
      </c>
      <c r="AF272" s="1049"/>
      <c r="AG272" s="776"/>
      <c r="AH272" s="1048"/>
      <c r="AK272" s="747"/>
      <c r="AL272" s="747"/>
      <c r="AM272" s="746"/>
    </row>
    <row r="273" spans="1:47" ht="63.75">
      <c r="A273" s="1040">
        <v>16</v>
      </c>
      <c r="B273" s="1050" t="s">
        <v>727</v>
      </c>
      <c r="C273" s="1050" t="s">
        <v>365</v>
      </c>
      <c r="D273" s="1085">
        <v>22606</v>
      </c>
      <c r="E273" s="1043" t="s">
        <v>41</v>
      </c>
      <c r="F273" s="1044" t="s">
        <v>350</v>
      </c>
      <c r="G273" s="1068" t="s">
        <v>10</v>
      </c>
      <c r="H273" s="1045">
        <v>2013</v>
      </c>
      <c r="I273" s="1046" t="s">
        <v>364</v>
      </c>
      <c r="J273" s="1045">
        <v>2015</v>
      </c>
      <c r="K273" s="1046" t="s">
        <v>366</v>
      </c>
      <c r="L273" s="1045"/>
      <c r="M273" s="1083" t="s">
        <v>58</v>
      </c>
      <c r="N273" s="1048">
        <v>22981</v>
      </c>
      <c r="O273" s="1048">
        <v>0</v>
      </c>
      <c r="P273" s="1048">
        <v>2981</v>
      </c>
      <c r="Q273" s="1048">
        <f>21000+1000</f>
        <v>22000</v>
      </c>
      <c r="R273" s="1048">
        <v>0</v>
      </c>
      <c r="S273" s="1048">
        <f>1000+1000</f>
        <v>2000</v>
      </c>
      <c r="T273" s="1048">
        <v>2606</v>
      </c>
      <c r="U273" s="1048">
        <f>1606-1000</f>
        <v>606</v>
      </c>
      <c r="V273" s="776">
        <f>VLOOKUP($B273,QD!$B$9:$L$316,10,0)</f>
        <v>606</v>
      </c>
      <c r="W273" s="776">
        <v>606</v>
      </c>
      <c r="X273" s="776">
        <v>100</v>
      </c>
      <c r="Y273" s="1049"/>
      <c r="Z273" s="776">
        <f t="shared" si="110"/>
        <v>606</v>
      </c>
      <c r="AA273" s="775">
        <f t="shared" si="143"/>
        <v>22606</v>
      </c>
      <c r="AB273" s="775">
        <f t="shared" si="144"/>
        <v>606</v>
      </c>
      <c r="AC273" s="775">
        <f t="shared" si="145"/>
        <v>2606</v>
      </c>
      <c r="AD273" s="775">
        <f t="shared" si="146"/>
        <v>2606</v>
      </c>
      <c r="AE273" s="775">
        <f t="shared" si="147"/>
        <v>0</v>
      </c>
      <c r="AF273" s="1049"/>
      <c r="AG273" s="776"/>
      <c r="AH273" s="1048"/>
      <c r="AK273" s="747"/>
      <c r="AL273" s="747"/>
      <c r="AM273" s="746"/>
    </row>
    <row r="274" spans="1:47" s="1173" customFormat="1" ht="25.5">
      <c r="A274" s="1053">
        <v>17</v>
      </c>
      <c r="B274" s="1086" t="s">
        <v>67</v>
      </c>
      <c r="C274" s="1086" t="s">
        <v>381</v>
      </c>
      <c r="D274" s="1087"/>
      <c r="E274" s="1056" t="s">
        <v>41</v>
      </c>
      <c r="F274" s="1057" t="s">
        <v>350</v>
      </c>
      <c r="G274" s="1088" t="s">
        <v>44</v>
      </c>
      <c r="H274" s="1059">
        <v>2013</v>
      </c>
      <c r="I274" s="1059"/>
      <c r="J274" s="1059">
        <v>2015</v>
      </c>
      <c r="K274" s="1059"/>
      <c r="L274" s="1059"/>
      <c r="M274" s="1089" t="s">
        <v>68</v>
      </c>
      <c r="N274" s="1061">
        <v>7578</v>
      </c>
      <c r="O274" s="1061">
        <v>0</v>
      </c>
      <c r="P274" s="1061">
        <v>1647.1999999999998</v>
      </c>
      <c r="Q274" s="1061">
        <v>6173</v>
      </c>
      <c r="R274" s="1061">
        <v>0</v>
      </c>
      <c r="S274" s="1061">
        <v>1000</v>
      </c>
      <c r="T274" s="1061">
        <v>1647</v>
      </c>
      <c r="U274" s="1061">
        <v>469</v>
      </c>
      <c r="V274" s="776">
        <f>VLOOKUP($B274,QD!$B$9:$L$316,10,0)</f>
        <v>469</v>
      </c>
      <c r="W274" s="776">
        <v>469</v>
      </c>
      <c r="X274" s="776">
        <v>100</v>
      </c>
      <c r="Y274" s="1062"/>
      <c r="Z274" s="776">
        <f t="shared" si="110"/>
        <v>469</v>
      </c>
      <c r="AA274" s="775">
        <f t="shared" si="143"/>
        <v>6642</v>
      </c>
      <c r="AB274" s="775">
        <f t="shared" si="144"/>
        <v>469</v>
      </c>
      <c r="AC274" s="775">
        <f t="shared" si="145"/>
        <v>1469</v>
      </c>
      <c r="AD274" s="775">
        <f t="shared" si="146"/>
        <v>1647</v>
      </c>
      <c r="AE274" s="775">
        <f t="shared" si="147"/>
        <v>0</v>
      </c>
      <c r="AF274" s="1062"/>
      <c r="AG274" s="821"/>
      <c r="AH274" s="1061" t="s">
        <v>685</v>
      </c>
      <c r="AK274" s="1174"/>
      <c r="AL274" s="1174"/>
      <c r="AM274" s="832"/>
    </row>
    <row r="275" spans="1:47" ht="73.5" customHeight="1">
      <c r="A275" s="1040">
        <v>18</v>
      </c>
      <c r="B275" s="1065" t="s">
        <v>56</v>
      </c>
      <c r="C275" s="1065" t="s">
        <v>371</v>
      </c>
      <c r="D275" s="1051">
        <v>14791</v>
      </c>
      <c r="E275" s="1043" t="s">
        <v>41</v>
      </c>
      <c r="F275" s="1044" t="s">
        <v>350</v>
      </c>
      <c r="G275" s="1043" t="s">
        <v>33</v>
      </c>
      <c r="H275" s="1045">
        <v>2014</v>
      </c>
      <c r="I275" s="1046" t="s">
        <v>372</v>
      </c>
      <c r="J275" s="1045">
        <v>2015</v>
      </c>
      <c r="K275" s="1077" t="s">
        <v>373</v>
      </c>
      <c r="L275" s="1045"/>
      <c r="M275" s="1070" t="s">
        <v>57</v>
      </c>
      <c r="N275" s="1048">
        <v>15029</v>
      </c>
      <c r="O275" s="1048">
        <v>0</v>
      </c>
      <c r="P275" s="1048">
        <v>2791</v>
      </c>
      <c r="Q275" s="1048">
        <f>14000+1000</f>
        <v>15000</v>
      </c>
      <c r="R275" s="1048">
        <v>0</v>
      </c>
      <c r="S275" s="1048">
        <f>2000+1000</f>
        <v>3000</v>
      </c>
      <c r="T275" s="1048">
        <v>2791</v>
      </c>
      <c r="U275" s="1048">
        <f>1791-1000</f>
        <v>791</v>
      </c>
      <c r="V275" s="776">
        <f>VLOOKUP($B275,QD!$B$9:$L$316,10,0)</f>
        <v>791</v>
      </c>
      <c r="W275" s="776">
        <v>791</v>
      </c>
      <c r="X275" s="776">
        <v>100</v>
      </c>
      <c r="Y275" s="1049"/>
      <c r="Z275" s="776">
        <f t="shared" si="110"/>
        <v>791</v>
      </c>
      <c r="AA275" s="775">
        <f t="shared" si="143"/>
        <v>15791</v>
      </c>
      <c r="AB275" s="775">
        <f t="shared" si="144"/>
        <v>791</v>
      </c>
      <c r="AC275" s="775">
        <f t="shared" si="145"/>
        <v>3791</v>
      </c>
      <c r="AD275" s="775">
        <f t="shared" si="146"/>
        <v>2791</v>
      </c>
      <c r="AE275" s="775">
        <f t="shared" si="147"/>
        <v>0</v>
      </c>
      <c r="AF275" s="1049"/>
      <c r="AG275" s="776"/>
      <c r="AH275" s="1048"/>
      <c r="AK275" s="747"/>
      <c r="AL275" s="747"/>
      <c r="AM275" s="746"/>
    </row>
    <row r="276" spans="1:47" ht="53.25" customHeight="1">
      <c r="A276" s="1040">
        <v>19</v>
      </c>
      <c r="B276" s="1065" t="s">
        <v>931</v>
      </c>
      <c r="C276" s="1065" t="s">
        <v>370</v>
      </c>
      <c r="D276" s="1051">
        <v>13157.465</v>
      </c>
      <c r="E276" s="1043" t="s">
        <v>41</v>
      </c>
      <c r="F276" s="1044" t="s">
        <v>350</v>
      </c>
      <c r="G276" s="1068" t="s">
        <v>10</v>
      </c>
      <c r="H276" s="1074">
        <v>2014</v>
      </c>
      <c r="I276" s="1090" t="s">
        <v>362</v>
      </c>
      <c r="J276" s="1074" t="s">
        <v>343</v>
      </c>
      <c r="K276" s="1090" t="s">
        <v>367</v>
      </c>
      <c r="L276" s="1074"/>
      <c r="M276" s="1068" t="s">
        <v>346</v>
      </c>
      <c r="N276" s="1048">
        <v>13414</v>
      </c>
      <c r="O276" s="1048">
        <v>0</v>
      </c>
      <c r="P276" s="1048">
        <v>13414</v>
      </c>
      <c r="Q276" s="1048">
        <v>13000</v>
      </c>
      <c r="R276" s="1048">
        <v>0</v>
      </c>
      <c r="S276" s="1048">
        <v>13000</v>
      </c>
      <c r="T276" s="1048">
        <v>1166</v>
      </c>
      <c r="U276" s="1048">
        <v>166</v>
      </c>
      <c r="V276" s="776">
        <f>VLOOKUP($B276,QD!$B$9:$L$316,10,0)</f>
        <v>166</v>
      </c>
      <c r="W276" s="776">
        <v>166</v>
      </c>
      <c r="X276" s="776">
        <v>100</v>
      </c>
      <c r="Y276" s="1049"/>
      <c r="Z276" s="776">
        <f t="shared" si="110"/>
        <v>166</v>
      </c>
      <c r="AA276" s="775">
        <f t="shared" si="143"/>
        <v>13166</v>
      </c>
      <c r="AB276" s="775">
        <f t="shared" si="144"/>
        <v>166</v>
      </c>
      <c r="AC276" s="775">
        <f t="shared" si="145"/>
        <v>13166</v>
      </c>
      <c r="AD276" s="775">
        <f t="shared" si="146"/>
        <v>1166</v>
      </c>
      <c r="AE276" s="775">
        <f t="shared" si="147"/>
        <v>0</v>
      </c>
      <c r="AF276" s="1049"/>
      <c r="AG276" s="776"/>
      <c r="AH276" s="1048"/>
      <c r="AK276" s="747"/>
      <c r="AL276" s="747"/>
      <c r="AM276" s="746"/>
    </row>
    <row r="277" spans="1:47" ht="49.5" customHeight="1">
      <c r="A277" s="1040">
        <v>20</v>
      </c>
      <c r="B277" s="1050" t="s">
        <v>61</v>
      </c>
      <c r="C277" s="1091" t="s">
        <v>374</v>
      </c>
      <c r="D277" s="1051">
        <v>10014.373</v>
      </c>
      <c r="E277" s="1043" t="s">
        <v>41</v>
      </c>
      <c r="F277" s="1044" t="s">
        <v>350</v>
      </c>
      <c r="G277" s="1073" t="s">
        <v>17</v>
      </c>
      <c r="H277" s="1045">
        <v>2015</v>
      </c>
      <c r="I277" s="1046" t="s">
        <v>379</v>
      </c>
      <c r="J277" s="1045">
        <v>2017</v>
      </c>
      <c r="K277" s="1046" t="s">
        <v>380</v>
      </c>
      <c r="L277" s="1045"/>
      <c r="M277" s="1083" t="s">
        <v>520</v>
      </c>
      <c r="N277" s="1048">
        <v>10124</v>
      </c>
      <c r="O277" s="1048">
        <v>0</v>
      </c>
      <c r="P277" s="1048">
        <v>2171</v>
      </c>
      <c r="Q277" s="1061">
        <v>8843</v>
      </c>
      <c r="R277" s="1048">
        <v>8843</v>
      </c>
      <c r="S277" s="1048">
        <v>1000</v>
      </c>
      <c r="T277" s="1048">
        <v>2171</v>
      </c>
      <c r="U277" s="1048">
        <v>1171</v>
      </c>
      <c r="V277" s="776">
        <f>VLOOKUP($B277,QD!$B$9:$L$316,10,0)</f>
        <v>1170</v>
      </c>
      <c r="W277" s="776">
        <v>1171</v>
      </c>
      <c r="X277" s="776">
        <v>100</v>
      </c>
      <c r="Y277" s="1049"/>
      <c r="Z277" s="776">
        <f t="shared" si="110"/>
        <v>1170</v>
      </c>
      <c r="AA277" s="775">
        <f t="shared" si="143"/>
        <v>10013</v>
      </c>
      <c r="AB277" s="775">
        <f t="shared" si="144"/>
        <v>10013</v>
      </c>
      <c r="AC277" s="775">
        <f t="shared" si="145"/>
        <v>2170</v>
      </c>
      <c r="AD277" s="775">
        <f t="shared" si="146"/>
        <v>2171</v>
      </c>
      <c r="AE277" s="775">
        <f t="shared" si="147"/>
        <v>1</v>
      </c>
      <c r="AF277" s="1049"/>
      <c r="AG277" s="776"/>
      <c r="AH277" s="1048" t="s">
        <v>780</v>
      </c>
      <c r="AK277" s="747"/>
      <c r="AL277" s="747"/>
      <c r="AM277" s="746"/>
    </row>
    <row r="278" spans="1:47" ht="68.25" customHeight="1">
      <c r="A278" s="1040">
        <v>21</v>
      </c>
      <c r="B278" s="1092" t="s">
        <v>962</v>
      </c>
      <c r="C278" s="1092"/>
      <c r="D278" s="1093"/>
      <c r="E278" s="159" t="s">
        <v>41</v>
      </c>
      <c r="F278" s="779" t="s">
        <v>350</v>
      </c>
      <c r="G278" s="1094" t="s">
        <v>46</v>
      </c>
      <c r="H278" s="358">
        <v>2011</v>
      </c>
      <c r="I278" s="358">
        <v>2011</v>
      </c>
      <c r="J278" s="358">
        <v>2013</v>
      </c>
      <c r="K278" s="358"/>
      <c r="L278" s="358"/>
      <c r="M278" s="159" t="s">
        <v>484</v>
      </c>
      <c r="N278" s="1048">
        <v>91090</v>
      </c>
      <c r="O278" s="1048">
        <v>0</v>
      </c>
      <c r="P278" s="1048">
        <v>0</v>
      </c>
      <c r="Q278" s="1048">
        <f>30500+3500</f>
        <v>34000</v>
      </c>
      <c r="R278" s="1048">
        <v>0</v>
      </c>
      <c r="S278" s="1048">
        <v>3500</v>
      </c>
      <c r="T278" s="1048">
        <v>14863</v>
      </c>
      <c r="U278" s="1048">
        <f>14863-3500</f>
        <v>11363</v>
      </c>
      <c r="V278" s="776">
        <f>VLOOKUP($B278,QD!$B$9:$L$316,10,0)</f>
        <v>2032</v>
      </c>
      <c r="W278" s="776">
        <v>2031.7500000001564</v>
      </c>
      <c r="X278" s="776">
        <v>43.946376909104195</v>
      </c>
      <c r="Y278" s="1049">
        <v>4044</v>
      </c>
      <c r="Z278" s="776">
        <f t="shared" si="110"/>
        <v>6076</v>
      </c>
      <c r="AA278" s="775">
        <f t="shared" si="143"/>
        <v>40076</v>
      </c>
      <c r="AB278" s="775">
        <f t="shared" si="144"/>
        <v>6076</v>
      </c>
      <c r="AC278" s="775">
        <f t="shared" si="145"/>
        <v>9576</v>
      </c>
      <c r="AD278" s="775">
        <f t="shared" si="146"/>
        <v>14863</v>
      </c>
      <c r="AE278" s="775">
        <f t="shared" si="147"/>
        <v>5287</v>
      </c>
      <c r="AF278" s="1049"/>
      <c r="AG278" s="776"/>
      <c r="AH278" s="1048" t="s">
        <v>558</v>
      </c>
      <c r="AK278" s="747"/>
      <c r="AL278" s="747"/>
      <c r="AM278" s="746"/>
    </row>
    <row r="279" spans="1:47" s="1514" customFormat="1" ht="35.25" customHeight="1">
      <c r="A279" s="1040">
        <v>22</v>
      </c>
      <c r="B279" s="1092" t="s">
        <v>483</v>
      </c>
      <c r="C279" s="1092"/>
      <c r="D279" s="1093"/>
      <c r="E279" s="159" t="s">
        <v>41</v>
      </c>
      <c r="F279" s="779" t="s">
        <v>350</v>
      </c>
      <c r="G279" s="1094" t="s">
        <v>46</v>
      </c>
      <c r="H279" s="358">
        <v>2011</v>
      </c>
      <c r="I279" s="358">
        <v>2011</v>
      </c>
      <c r="J279" s="358">
        <v>2013</v>
      </c>
      <c r="K279" s="358"/>
      <c r="L279" s="358"/>
      <c r="M279" s="159" t="s">
        <v>485</v>
      </c>
      <c r="N279" s="1048">
        <v>29493</v>
      </c>
      <c r="O279" s="1048">
        <v>0</v>
      </c>
      <c r="P279" s="1048">
        <v>0</v>
      </c>
      <c r="Q279" s="1048">
        <f>21345+1000</f>
        <v>22345</v>
      </c>
      <c r="R279" s="1048">
        <v>0</v>
      </c>
      <c r="S279" s="1048">
        <f>2000+1000</f>
        <v>3000</v>
      </c>
      <c r="T279" s="1048">
        <v>6655</v>
      </c>
      <c r="U279" s="1048">
        <f>4655-1000</f>
        <v>3655</v>
      </c>
      <c r="V279" s="776">
        <f>VLOOKUP($B279,QD!$B$9:$L$316,10,0)</f>
        <v>1397</v>
      </c>
      <c r="W279" s="776">
        <v>1396.5</v>
      </c>
      <c r="X279" s="776">
        <v>30</v>
      </c>
      <c r="Y279" s="1049">
        <v>2258</v>
      </c>
      <c r="Z279" s="776">
        <f t="shared" si="110"/>
        <v>3655</v>
      </c>
      <c r="AA279" s="775">
        <f t="shared" si="143"/>
        <v>26000</v>
      </c>
      <c r="AB279" s="775">
        <f t="shared" si="144"/>
        <v>3655</v>
      </c>
      <c r="AC279" s="775">
        <f t="shared" si="145"/>
        <v>6655</v>
      </c>
      <c r="AD279" s="775">
        <f t="shared" si="146"/>
        <v>6655</v>
      </c>
      <c r="AE279" s="775">
        <f t="shared" si="147"/>
        <v>0</v>
      </c>
      <c r="AF279" s="1049"/>
      <c r="AG279" s="782"/>
      <c r="AH279" s="1048"/>
      <c r="AK279" s="1515"/>
      <c r="AL279" s="1515"/>
      <c r="AM279" s="1516"/>
    </row>
    <row r="280" spans="1:47" ht="69.75" customHeight="1">
      <c r="A280" s="1095"/>
      <c r="B280" s="1096" t="s">
        <v>1590</v>
      </c>
      <c r="C280" s="1096"/>
      <c r="D280" s="1096"/>
      <c r="E280" s="1096"/>
      <c r="F280" s="1096"/>
      <c r="G280" s="1097"/>
      <c r="H280" s="873"/>
      <c r="I280" s="873"/>
      <c r="J280" s="873"/>
      <c r="K280" s="873"/>
      <c r="L280" s="873"/>
      <c r="M280" s="1098"/>
      <c r="N280" s="656"/>
      <c r="O280" s="656"/>
      <c r="P280" s="656"/>
      <c r="Q280" s="656"/>
      <c r="R280" s="656"/>
      <c r="S280" s="656"/>
      <c r="T280" s="656"/>
      <c r="U280" s="656"/>
      <c r="V280" s="656"/>
      <c r="W280" s="656"/>
      <c r="X280" s="656"/>
      <c r="Y280" s="656"/>
      <c r="Z280" s="656"/>
      <c r="AA280" s="656"/>
      <c r="AB280" s="656"/>
      <c r="AC280" s="656"/>
      <c r="AD280" s="656"/>
      <c r="AE280" s="656"/>
      <c r="AF280" s="1099"/>
      <c r="AG280" s="1100"/>
      <c r="AH280" s="1100" t="s">
        <v>653</v>
      </c>
      <c r="AK280" s="747"/>
      <c r="AL280" s="747"/>
      <c r="AM280" s="746"/>
      <c r="AO280" s="1101"/>
      <c r="AP280" s="832"/>
      <c r="AQ280" s="885"/>
      <c r="AS280" s="832"/>
      <c r="AT280" s="832"/>
      <c r="AU280" s="834"/>
    </row>
    <row r="281" spans="1:47" ht="67.5" customHeight="1">
      <c r="A281" s="994">
        <v>1</v>
      </c>
      <c r="B281" s="1102" t="s">
        <v>1591</v>
      </c>
      <c r="C281" s="1102"/>
      <c r="D281" s="1102"/>
      <c r="E281" s="1102"/>
      <c r="F281" s="1102"/>
      <c r="G281" s="1000" t="s">
        <v>49</v>
      </c>
      <c r="H281" s="1103">
        <v>2014</v>
      </c>
      <c r="I281" s="1103"/>
      <c r="J281" s="1103">
        <v>2017</v>
      </c>
      <c r="K281" s="1103"/>
      <c r="L281" s="1103"/>
      <c r="M281" s="1104" t="s">
        <v>1592</v>
      </c>
      <c r="N281" s="639">
        <v>58534</v>
      </c>
      <c r="O281" s="639"/>
      <c r="P281" s="639">
        <v>12680</v>
      </c>
      <c r="Q281" s="639"/>
      <c r="R281" s="639"/>
      <c r="S281" s="639"/>
      <c r="T281" s="639"/>
      <c r="U281" s="639"/>
      <c r="V281" s="639"/>
      <c r="W281" s="639"/>
      <c r="X281" s="639"/>
      <c r="Y281" s="639"/>
      <c r="Z281" s="639"/>
      <c r="AA281" s="639">
        <v>47412</v>
      </c>
      <c r="AB281" s="639"/>
      <c r="AC281" s="639">
        <v>7412</v>
      </c>
      <c r="AD281" s="639">
        <f>P281-AC281</f>
        <v>5268</v>
      </c>
      <c r="AE281" s="639">
        <f>AD281</f>
        <v>5268</v>
      </c>
      <c r="AF281" s="1105"/>
      <c r="AG281" s="1105"/>
      <c r="AH281" s="1106" t="s">
        <v>1640</v>
      </c>
      <c r="AK281" s="747"/>
      <c r="AL281" s="747"/>
      <c r="AM281" s="746"/>
      <c r="AO281" s="1105"/>
      <c r="AP281" s="832"/>
      <c r="AQ281" s="1107"/>
      <c r="AS281" s="832"/>
      <c r="AT281" s="832"/>
      <c r="AU281" s="834"/>
    </row>
    <row r="282" spans="1:47" s="1108" customFormat="1" ht="23.25" customHeight="1">
      <c r="A282" s="754" t="s">
        <v>568</v>
      </c>
      <c r="B282" s="755" t="s">
        <v>165</v>
      </c>
      <c r="C282" s="754"/>
      <c r="D282" s="754"/>
      <c r="E282" s="754"/>
      <c r="F282" s="754"/>
      <c r="G282" s="754"/>
      <c r="H282" s="754"/>
      <c r="I282" s="754"/>
      <c r="J282" s="754"/>
      <c r="K282" s="754"/>
      <c r="L282" s="754"/>
      <c r="M282" s="754"/>
      <c r="N282" s="1161">
        <f t="shared" ref="N282:AB282" si="148">SUBTOTAL(109,N283:N284)</f>
        <v>14440</v>
      </c>
      <c r="O282" s="1161">
        <f t="shared" si="148"/>
        <v>0</v>
      </c>
      <c r="P282" s="1161">
        <f t="shared" si="148"/>
        <v>14440</v>
      </c>
      <c r="Q282" s="1161">
        <f t="shared" si="148"/>
        <v>9422</v>
      </c>
      <c r="R282" s="1161">
        <f t="shared" si="148"/>
        <v>0</v>
      </c>
      <c r="S282" s="1161">
        <f t="shared" si="148"/>
        <v>9422</v>
      </c>
      <c r="T282" s="1161">
        <f t="shared" si="148"/>
        <v>7043</v>
      </c>
      <c r="U282" s="1161">
        <f t="shared" si="148"/>
        <v>3221</v>
      </c>
      <c r="V282" s="1161">
        <f t="shared" si="148"/>
        <v>3221</v>
      </c>
      <c r="W282" s="1161">
        <f t="shared" si="148"/>
        <v>3221</v>
      </c>
      <c r="X282" s="1161"/>
      <c r="Y282" s="1161">
        <f t="shared" si="148"/>
        <v>0</v>
      </c>
      <c r="Z282" s="1161">
        <f t="shared" si="148"/>
        <v>3221</v>
      </c>
      <c r="AA282" s="1161">
        <f t="shared" si="148"/>
        <v>12643</v>
      </c>
      <c r="AB282" s="1161">
        <f t="shared" si="148"/>
        <v>3221</v>
      </c>
      <c r="AC282" s="1161">
        <f t="shared" ref="AC282" si="149">SUBTOTAL(109,AC283:AC284)</f>
        <v>12643</v>
      </c>
      <c r="AD282" s="1161">
        <f>SUBTOTAL(109,AD283:AD288)</f>
        <v>16051</v>
      </c>
      <c r="AE282" s="1161">
        <f>SUBTOTAL(109,AE283:AE288)</f>
        <v>9008</v>
      </c>
      <c r="AF282" s="1191"/>
      <c r="AG282" s="776"/>
      <c r="AH282" s="754"/>
      <c r="AK282" s="1109"/>
      <c r="AL282" s="1109"/>
      <c r="AM282" s="1110"/>
    </row>
    <row r="283" spans="1:47" ht="84" customHeight="1">
      <c r="A283" s="777">
        <v>1</v>
      </c>
      <c r="B283" s="1111" t="s">
        <v>117</v>
      </c>
      <c r="C283" s="1111" t="s">
        <v>389</v>
      </c>
      <c r="D283" s="1227">
        <v>7987</v>
      </c>
      <c r="E283" s="159" t="s">
        <v>37</v>
      </c>
      <c r="F283" s="1112" t="s">
        <v>385</v>
      </c>
      <c r="G283" s="389" t="s">
        <v>44</v>
      </c>
      <c r="H283" s="358">
        <v>2014</v>
      </c>
      <c r="I283" s="1113" t="s">
        <v>383</v>
      </c>
      <c r="J283" s="358">
        <v>2016</v>
      </c>
      <c r="K283" s="1114" t="s">
        <v>388</v>
      </c>
      <c r="L283" s="358"/>
      <c r="M283" s="389" t="s">
        <v>118</v>
      </c>
      <c r="N283" s="1115">
        <v>7933</v>
      </c>
      <c r="O283" s="1115">
        <v>0</v>
      </c>
      <c r="P283" s="1115">
        <v>7933</v>
      </c>
      <c r="Q283" s="1115">
        <v>4948</v>
      </c>
      <c r="R283" s="1115">
        <v>0</v>
      </c>
      <c r="S283" s="1115">
        <v>4948</v>
      </c>
      <c r="T283" s="1115">
        <v>3096</v>
      </c>
      <c r="U283" s="1115">
        <v>1548</v>
      </c>
      <c r="V283" s="776">
        <f>VLOOKUP($B283,QD!$B$9:$L$316,10,0)</f>
        <v>1548</v>
      </c>
      <c r="W283" s="776">
        <v>1548</v>
      </c>
      <c r="X283" s="776">
        <v>100</v>
      </c>
      <c r="Y283" s="1116"/>
      <c r="Z283" s="776">
        <f t="shared" si="110"/>
        <v>1548</v>
      </c>
      <c r="AA283" s="775">
        <f t="shared" ref="AA283" si="150">Q283+$Z283</f>
        <v>6496</v>
      </c>
      <c r="AB283" s="775">
        <f t="shared" ref="AB283" si="151">R283+$Z283</f>
        <v>1548</v>
      </c>
      <c r="AC283" s="775">
        <f t="shared" ref="AC283" si="152">S283+$Z283</f>
        <v>6496</v>
      </c>
      <c r="AD283" s="775">
        <f t="shared" ref="AD283" si="153">T283</f>
        <v>3096</v>
      </c>
      <c r="AE283" s="775">
        <f t="shared" ref="AE283" si="154">U283-Z283</f>
        <v>0</v>
      </c>
      <c r="AF283" s="1116"/>
      <c r="AG283" s="776"/>
      <c r="AH283" s="1299"/>
      <c r="AK283" s="747"/>
      <c r="AL283" s="747"/>
      <c r="AM283" s="746"/>
    </row>
    <row r="284" spans="1:47" s="1173" customFormat="1" ht="63.75">
      <c r="A284" s="1117">
        <v>2</v>
      </c>
      <c r="B284" s="1118" t="s">
        <v>119</v>
      </c>
      <c r="C284" s="1118" t="s">
        <v>391</v>
      </c>
      <c r="D284" s="1630">
        <v>6447</v>
      </c>
      <c r="E284" s="1119" t="s">
        <v>37</v>
      </c>
      <c r="F284" s="1120" t="s">
        <v>385</v>
      </c>
      <c r="G284" s="1121" t="s">
        <v>17</v>
      </c>
      <c r="H284" s="1122">
        <v>2015</v>
      </c>
      <c r="I284" s="1123" t="s">
        <v>390</v>
      </c>
      <c r="J284" s="1122">
        <v>2017</v>
      </c>
      <c r="K284" s="1123" t="s">
        <v>384</v>
      </c>
      <c r="L284" s="1122"/>
      <c r="M284" s="1124" t="s">
        <v>120</v>
      </c>
      <c r="N284" s="1125">
        <v>6507</v>
      </c>
      <c r="O284" s="1125">
        <v>0</v>
      </c>
      <c r="P284" s="1125">
        <v>6507</v>
      </c>
      <c r="Q284" s="1125">
        <v>4474</v>
      </c>
      <c r="R284" s="1125">
        <v>0</v>
      </c>
      <c r="S284" s="1125">
        <v>4474</v>
      </c>
      <c r="T284" s="1125">
        <v>3947</v>
      </c>
      <c r="U284" s="1125">
        <v>1673</v>
      </c>
      <c r="V284" s="776">
        <f>VLOOKUP($B284,QD!$B$9:$L$316,10,0)</f>
        <v>1673</v>
      </c>
      <c r="W284" s="776">
        <v>1673</v>
      </c>
      <c r="X284" s="776">
        <v>100</v>
      </c>
      <c r="Y284" s="1126"/>
      <c r="Z284" s="776">
        <f t="shared" si="110"/>
        <v>1673</v>
      </c>
      <c r="AA284" s="775">
        <f t="shared" ref="AA284" si="155">Q284+$Z284</f>
        <v>6147</v>
      </c>
      <c r="AB284" s="775">
        <f t="shared" ref="AB284" si="156">R284+$Z284</f>
        <v>1673</v>
      </c>
      <c r="AC284" s="775">
        <f t="shared" ref="AC284" si="157">S284+$Z284</f>
        <v>6147</v>
      </c>
      <c r="AD284" s="775">
        <f t="shared" ref="AD284" si="158">T284</f>
        <v>3947</v>
      </c>
      <c r="AE284" s="775">
        <f t="shared" ref="AE284" si="159">U284-Z284</f>
        <v>0</v>
      </c>
      <c r="AF284" s="1126"/>
      <c r="AG284" s="821"/>
      <c r="AH284" s="1121" t="s">
        <v>689</v>
      </c>
      <c r="AK284" s="1174"/>
      <c r="AL284" s="1174"/>
      <c r="AM284" s="832"/>
    </row>
    <row r="285" spans="1:47" ht="41.25" customHeight="1">
      <c r="A285" s="1095"/>
      <c r="B285" s="1096" t="s">
        <v>1593</v>
      </c>
      <c r="C285" s="1096"/>
      <c r="D285" s="1096"/>
      <c r="E285" s="1096"/>
      <c r="F285" s="1096"/>
      <c r="G285" s="1097"/>
      <c r="H285" s="873"/>
      <c r="I285" s="873"/>
      <c r="J285" s="873"/>
      <c r="K285" s="873"/>
      <c r="L285" s="873"/>
      <c r="M285" s="1098"/>
      <c r="N285" s="656">
        <f t="shared" ref="N285:AE285" si="160">SUBTOTAL(109,N286:N288)</f>
        <v>126215</v>
      </c>
      <c r="O285" s="656"/>
      <c r="P285" s="656">
        <f t="shared" si="160"/>
        <v>0</v>
      </c>
      <c r="Q285" s="656"/>
      <c r="R285" s="656"/>
      <c r="S285" s="656"/>
      <c r="T285" s="656"/>
      <c r="U285" s="656"/>
      <c r="V285" s="656"/>
      <c r="W285" s="656"/>
      <c r="X285" s="656"/>
      <c r="Y285" s="656"/>
      <c r="Z285" s="656"/>
      <c r="AA285" s="656">
        <f t="shared" si="160"/>
        <v>37876</v>
      </c>
      <c r="AB285" s="656"/>
      <c r="AC285" s="656">
        <f t="shared" si="160"/>
        <v>1613</v>
      </c>
      <c r="AD285" s="656">
        <f t="shared" si="160"/>
        <v>9008</v>
      </c>
      <c r="AE285" s="656">
        <f t="shared" si="160"/>
        <v>9008</v>
      </c>
      <c r="AF285" s="656"/>
      <c r="AG285" s="1100"/>
      <c r="AH285" s="1100"/>
      <c r="AK285" s="747"/>
      <c r="AL285" s="747"/>
      <c r="AM285" s="746"/>
      <c r="AO285" s="1101"/>
      <c r="AP285" s="832"/>
      <c r="AQ285" s="885"/>
      <c r="AS285" s="832"/>
      <c r="AT285" s="832"/>
      <c r="AU285" s="834"/>
    </row>
    <row r="286" spans="1:47" ht="59.25" customHeight="1">
      <c r="A286" s="994">
        <v>1</v>
      </c>
      <c r="B286" s="1105" t="s">
        <v>1594</v>
      </c>
      <c r="C286" s="1105"/>
      <c r="D286" s="1105"/>
      <c r="E286" s="1105"/>
      <c r="F286" s="1105"/>
      <c r="G286" s="1103" t="s">
        <v>46</v>
      </c>
      <c r="H286" s="1103">
        <v>2010</v>
      </c>
      <c r="I286" s="1103"/>
      <c r="J286" s="1103">
        <v>2013</v>
      </c>
      <c r="K286" s="1103"/>
      <c r="L286" s="1103"/>
      <c r="M286" s="1104" t="s">
        <v>1595</v>
      </c>
      <c r="N286" s="639">
        <v>16030</v>
      </c>
      <c r="O286" s="639"/>
      <c r="P286" s="639"/>
      <c r="Q286" s="639"/>
      <c r="R286" s="639"/>
      <c r="S286" s="639"/>
      <c r="T286" s="639"/>
      <c r="U286" s="639"/>
      <c r="V286" s="639"/>
      <c r="W286" s="639"/>
      <c r="X286" s="639"/>
      <c r="Y286" s="639"/>
      <c r="Z286" s="639"/>
      <c r="AA286" s="639">
        <v>10327</v>
      </c>
      <c r="AB286" s="639"/>
      <c r="AC286" s="639">
        <v>1613</v>
      </c>
      <c r="AD286" s="639">
        <f>N286-AA286</f>
        <v>5703</v>
      </c>
      <c r="AE286" s="639">
        <f t="shared" ref="AE286:AE288" si="161">AD286</f>
        <v>5703</v>
      </c>
      <c r="AF286" s="1105"/>
      <c r="AG286" s="1105"/>
      <c r="AH286" s="1106" t="s">
        <v>1636</v>
      </c>
      <c r="AK286" s="747"/>
      <c r="AL286" s="747"/>
      <c r="AM286" s="746"/>
      <c r="AO286" s="1105"/>
      <c r="AP286" s="832"/>
      <c r="AQ286" s="1107"/>
      <c r="AS286" s="832"/>
      <c r="AT286" s="832"/>
      <c r="AU286" s="834"/>
    </row>
    <row r="287" spans="1:47" ht="42" customHeight="1">
      <c r="A287" s="994">
        <v>2</v>
      </c>
      <c r="B287" s="1102" t="s">
        <v>1596</v>
      </c>
      <c r="C287" s="1102"/>
      <c r="D287" s="1102"/>
      <c r="E287" s="1102"/>
      <c r="F287" s="1102"/>
      <c r="G287" s="1000" t="s">
        <v>511</v>
      </c>
      <c r="H287" s="1103">
        <v>2012</v>
      </c>
      <c r="I287" s="1103"/>
      <c r="J287" s="1103">
        <v>2015</v>
      </c>
      <c r="K287" s="1103"/>
      <c r="L287" s="1103"/>
      <c r="M287" s="1104" t="s">
        <v>1597</v>
      </c>
      <c r="N287" s="639">
        <v>95900</v>
      </c>
      <c r="O287" s="639"/>
      <c r="P287" s="639"/>
      <c r="Q287" s="639"/>
      <c r="R287" s="639"/>
      <c r="S287" s="639"/>
      <c r="T287" s="639"/>
      <c r="U287" s="639"/>
      <c r="V287" s="639"/>
      <c r="W287" s="639"/>
      <c r="X287" s="639"/>
      <c r="Y287" s="639"/>
      <c r="Z287" s="639"/>
      <c r="AA287" s="639">
        <v>15000</v>
      </c>
      <c r="AB287" s="639"/>
      <c r="AC287" s="639"/>
      <c r="AD287" s="639">
        <f>17500-AA287</f>
        <v>2500</v>
      </c>
      <c r="AE287" s="639">
        <f t="shared" si="161"/>
        <v>2500</v>
      </c>
      <c r="AF287" s="1105"/>
      <c r="AG287" s="1105"/>
      <c r="AH287" s="1106" t="s">
        <v>1637</v>
      </c>
      <c r="AK287" s="747"/>
      <c r="AL287" s="747"/>
      <c r="AM287" s="746"/>
      <c r="AO287" s="1105"/>
      <c r="AP287" s="832"/>
      <c r="AQ287" s="1107"/>
      <c r="AS287" s="832"/>
      <c r="AT287" s="832"/>
      <c r="AU287" s="834"/>
    </row>
    <row r="288" spans="1:47" ht="45.75" customHeight="1">
      <c r="A288" s="994">
        <v>3</v>
      </c>
      <c r="B288" s="1102" t="s">
        <v>1598</v>
      </c>
      <c r="C288" s="1102"/>
      <c r="D288" s="1102"/>
      <c r="E288" s="1102"/>
      <c r="F288" s="1102"/>
      <c r="G288" s="1000" t="s">
        <v>46</v>
      </c>
      <c r="H288" s="1103">
        <v>2014</v>
      </c>
      <c r="I288" s="1103"/>
      <c r="J288" s="1103">
        <v>2015</v>
      </c>
      <c r="K288" s="1103"/>
      <c r="L288" s="1103"/>
      <c r="M288" s="1104" t="s">
        <v>1599</v>
      </c>
      <c r="N288" s="639">
        <v>14285</v>
      </c>
      <c r="O288" s="639"/>
      <c r="P288" s="639"/>
      <c r="Q288" s="639"/>
      <c r="R288" s="639"/>
      <c r="S288" s="639"/>
      <c r="T288" s="639"/>
      <c r="U288" s="639"/>
      <c r="V288" s="639"/>
      <c r="W288" s="639"/>
      <c r="X288" s="639"/>
      <c r="Y288" s="639"/>
      <c r="Z288" s="639"/>
      <c r="AA288" s="639">
        <v>12549</v>
      </c>
      <c r="AB288" s="639"/>
      <c r="AC288" s="639"/>
      <c r="AD288" s="639">
        <f>13354-AA288</f>
        <v>805</v>
      </c>
      <c r="AE288" s="639">
        <f t="shared" si="161"/>
        <v>805</v>
      </c>
      <c r="AF288" s="1105"/>
      <c r="AG288" s="1105"/>
      <c r="AH288" s="1106" t="s">
        <v>1600</v>
      </c>
      <c r="AK288" s="747"/>
      <c r="AL288" s="747"/>
      <c r="AM288" s="746"/>
      <c r="AO288" s="1105"/>
      <c r="AP288" s="832"/>
      <c r="AQ288" s="1107"/>
      <c r="AS288" s="832"/>
      <c r="AT288" s="832"/>
      <c r="AU288" s="834"/>
    </row>
    <row r="289" spans="1:252" s="1173" customFormat="1">
      <c r="A289" s="754" t="s">
        <v>569</v>
      </c>
      <c r="B289" s="755" t="s">
        <v>570</v>
      </c>
      <c r="C289" s="1127"/>
      <c r="D289" s="1127"/>
      <c r="E289" s="1119"/>
      <c r="F289" s="1119"/>
      <c r="G289" s="1119"/>
      <c r="H289" s="1119"/>
      <c r="I289" s="1119"/>
      <c r="J289" s="1119"/>
      <c r="K289" s="1119"/>
      <c r="L289" s="1119"/>
      <c r="M289" s="1119"/>
      <c r="N289" s="1161">
        <f>SUBTOTAL(109,N290:N302)</f>
        <v>1129716</v>
      </c>
      <c r="O289" s="1161">
        <f t="shared" ref="O289:V289" si="162">SUBTOTAL(109,O290:O302)</f>
        <v>0</v>
      </c>
      <c r="P289" s="1161">
        <f t="shared" si="162"/>
        <v>534099</v>
      </c>
      <c r="Q289" s="1161">
        <f t="shared" si="162"/>
        <v>154413</v>
      </c>
      <c r="R289" s="1161">
        <f t="shared" si="162"/>
        <v>0</v>
      </c>
      <c r="S289" s="1161">
        <f t="shared" si="162"/>
        <v>119700</v>
      </c>
      <c r="T289" s="1161">
        <f t="shared" si="162"/>
        <v>326085</v>
      </c>
      <c r="U289" s="1161">
        <f t="shared" si="162"/>
        <v>218529</v>
      </c>
      <c r="V289" s="1161">
        <f t="shared" si="162"/>
        <v>50000</v>
      </c>
      <c r="W289" s="1161">
        <f t="shared" ref="W289:Z289" si="163">SUBTOTAL(109,W290:W302)</f>
        <v>50000</v>
      </c>
      <c r="X289" s="1161">
        <f t="shared" si="163"/>
        <v>0</v>
      </c>
      <c r="Y289" s="1161">
        <f t="shared" si="163"/>
        <v>10000</v>
      </c>
      <c r="Z289" s="1161">
        <f t="shared" si="163"/>
        <v>62000</v>
      </c>
      <c r="AA289" s="1161">
        <f t="shared" ref="AA289:AC289" si="164">SUBTOTAL(109,AA290:AA302)</f>
        <v>214413</v>
      </c>
      <c r="AB289" s="1161">
        <f t="shared" si="164"/>
        <v>60000</v>
      </c>
      <c r="AC289" s="1161">
        <f t="shared" si="164"/>
        <v>179700</v>
      </c>
      <c r="AD289" s="1161">
        <f>SUBTOTAL(109,AD290:AD306)</f>
        <v>346081</v>
      </c>
      <c r="AE289" s="1161">
        <f>SUBTOTAL(109,AE290:AE306)</f>
        <v>178435</v>
      </c>
      <c r="AF289" s="1191"/>
      <c r="AG289" s="776"/>
      <c r="AH289" s="1119"/>
      <c r="AK289" s="1174"/>
      <c r="AL289" s="1174"/>
      <c r="AM289" s="832"/>
    </row>
    <row r="290" spans="1:252" s="155" customFormat="1" ht="38.25">
      <c r="A290" s="816" t="s">
        <v>471</v>
      </c>
      <c r="B290" s="1128" t="s">
        <v>581</v>
      </c>
      <c r="C290" s="1128"/>
      <c r="D290" s="1129"/>
      <c r="E290" s="818"/>
      <c r="F290" s="818"/>
      <c r="G290" s="447"/>
      <c r="H290" s="820"/>
      <c r="I290" s="820"/>
      <c r="J290" s="820"/>
      <c r="K290" s="820"/>
      <c r="L290" s="820"/>
      <c r="M290" s="319"/>
      <c r="N290" s="818">
        <f t="shared" ref="N290:V290" si="165">SUBTOTAL(109,N291:N300)</f>
        <v>1072516</v>
      </c>
      <c r="O290" s="818">
        <f t="shared" si="165"/>
        <v>0</v>
      </c>
      <c r="P290" s="818">
        <f t="shared" si="165"/>
        <v>515599</v>
      </c>
      <c r="Q290" s="818">
        <f t="shared" si="165"/>
        <v>154413</v>
      </c>
      <c r="R290" s="818">
        <f t="shared" si="165"/>
        <v>0</v>
      </c>
      <c r="S290" s="818">
        <f t="shared" si="165"/>
        <v>119700</v>
      </c>
      <c r="T290" s="818">
        <f t="shared" si="165"/>
        <v>316585</v>
      </c>
      <c r="U290" s="818">
        <f t="shared" si="165"/>
        <v>209029</v>
      </c>
      <c r="V290" s="818">
        <f t="shared" si="165"/>
        <v>48000</v>
      </c>
      <c r="W290" s="818">
        <f t="shared" ref="W290:Z290" si="166">SUBTOTAL(109,W291:W300)</f>
        <v>48000</v>
      </c>
      <c r="X290" s="818">
        <f t="shared" si="166"/>
        <v>0</v>
      </c>
      <c r="Y290" s="818">
        <f t="shared" si="166"/>
        <v>12000</v>
      </c>
      <c r="Z290" s="818">
        <f t="shared" si="166"/>
        <v>60000</v>
      </c>
      <c r="AA290" s="818">
        <f t="shared" ref="AA290:AE290" si="167">SUBTOTAL(109,AA291:AA300)</f>
        <v>214413</v>
      </c>
      <c r="AB290" s="818">
        <f t="shared" si="167"/>
        <v>60000</v>
      </c>
      <c r="AC290" s="818">
        <f t="shared" si="167"/>
        <v>179700</v>
      </c>
      <c r="AD290" s="818">
        <f t="shared" si="167"/>
        <v>316585</v>
      </c>
      <c r="AE290" s="818">
        <f t="shared" si="167"/>
        <v>149029</v>
      </c>
      <c r="AF290" s="1130"/>
      <c r="AG290" s="776"/>
      <c r="AH290" s="818"/>
      <c r="AI290" s="1631"/>
      <c r="AJ290" s="1632">
        <f t="shared" ref="AJ290:AJ299" si="168">N290-AI290</f>
        <v>1072516</v>
      </c>
      <c r="AK290" s="1633"/>
      <c r="AL290" s="1633"/>
      <c r="AM290" s="1634"/>
      <c r="AN290" s="1631"/>
      <c r="AO290" s="1631"/>
      <c r="AP290" s="1631"/>
      <c r="AQ290" s="1631"/>
      <c r="AR290" s="1631"/>
      <c r="AS290" s="1631"/>
      <c r="AT290" s="1631"/>
      <c r="AU290" s="1631"/>
      <c r="AV290" s="1631"/>
      <c r="AW290" s="1631"/>
      <c r="AX290" s="1631"/>
      <c r="AY290" s="1631"/>
      <c r="AZ290" s="1631"/>
      <c r="BA290" s="1631"/>
      <c r="BB290" s="1631"/>
      <c r="BC290" s="1631"/>
      <c r="BD290" s="1631"/>
      <c r="BE290" s="1631"/>
      <c r="BF290" s="1631"/>
      <c r="BG290" s="1631"/>
      <c r="BH290" s="1631"/>
      <c r="BI290" s="1631"/>
      <c r="BJ290" s="1631"/>
      <c r="BK290" s="1631"/>
      <c r="BL290" s="1631"/>
      <c r="BM290" s="1631"/>
      <c r="BN290" s="1631"/>
      <c r="BO290" s="1631"/>
      <c r="BP290" s="1631"/>
      <c r="BQ290" s="1631"/>
      <c r="BR290" s="1631"/>
      <c r="BS290" s="1631"/>
      <c r="BT290" s="1631"/>
      <c r="BU290" s="1631"/>
      <c r="BV290" s="1631"/>
      <c r="BW290" s="1631"/>
      <c r="BX290" s="1631"/>
      <c r="BY290" s="1631"/>
      <c r="BZ290" s="1631"/>
      <c r="CA290" s="1631"/>
      <c r="CB290" s="1631"/>
      <c r="CC290" s="1631"/>
      <c r="CD290" s="1631"/>
      <c r="CE290" s="1631"/>
      <c r="CF290" s="1631"/>
      <c r="CG290" s="1631"/>
      <c r="CH290" s="1631"/>
      <c r="CI290" s="1631"/>
      <c r="CJ290" s="1631"/>
      <c r="CK290" s="1631"/>
      <c r="CL290" s="1631"/>
      <c r="CM290" s="1631"/>
      <c r="CN290" s="1631"/>
      <c r="CO290" s="1631"/>
      <c r="CP290" s="1631"/>
      <c r="CQ290" s="1631"/>
      <c r="CR290" s="1631"/>
      <c r="CS290" s="1631"/>
      <c r="CT290" s="1631"/>
      <c r="CU290" s="1631"/>
      <c r="CV290" s="1631"/>
      <c r="CW290" s="1631"/>
      <c r="CX290" s="1631"/>
      <c r="CY290" s="1631"/>
      <c r="CZ290" s="1631"/>
      <c r="DA290" s="1631"/>
      <c r="DB290" s="1631"/>
      <c r="DC290" s="1631"/>
      <c r="DD290" s="1631"/>
      <c r="DE290" s="1631"/>
      <c r="DF290" s="1631"/>
      <c r="DG290" s="1631"/>
      <c r="DH290" s="1631"/>
      <c r="DI290" s="1631"/>
      <c r="DJ290" s="1631"/>
      <c r="DK290" s="1631"/>
      <c r="DL290" s="1631"/>
      <c r="DM290" s="1631"/>
      <c r="DN290" s="1631"/>
      <c r="DO290" s="1631"/>
      <c r="DP290" s="1631"/>
      <c r="DQ290" s="1631"/>
      <c r="DR290" s="1631"/>
      <c r="DS290" s="1631"/>
      <c r="DT290" s="1631"/>
      <c r="DU290" s="1631"/>
      <c r="DV290" s="1631"/>
      <c r="DW290" s="1631"/>
      <c r="DX290" s="1631"/>
      <c r="DY290" s="1631"/>
      <c r="DZ290" s="1631"/>
      <c r="EA290" s="1631"/>
      <c r="EB290" s="1631"/>
      <c r="EC290" s="1631"/>
      <c r="ED290" s="1631"/>
      <c r="EE290" s="1631"/>
      <c r="EF290" s="1631"/>
      <c r="EG290" s="1631"/>
      <c r="EH290" s="1631"/>
      <c r="EI290" s="1631"/>
      <c r="EJ290" s="1631"/>
      <c r="EK290" s="1631"/>
      <c r="EL290" s="1631"/>
      <c r="EM290" s="1631"/>
      <c r="EN290" s="1631"/>
      <c r="EO290" s="1631"/>
      <c r="EP290" s="1631"/>
      <c r="EQ290" s="1631"/>
      <c r="ER290" s="1631"/>
      <c r="ES290" s="1631"/>
      <c r="ET290" s="1631"/>
      <c r="EU290" s="1631"/>
      <c r="EV290" s="1631"/>
      <c r="EW290" s="1631"/>
      <c r="EX290" s="1631"/>
      <c r="EY290" s="1631"/>
      <c r="EZ290" s="1631"/>
      <c r="FA290" s="1631"/>
      <c r="FB290" s="1631"/>
      <c r="FC290" s="1631"/>
      <c r="FD290" s="1631"/>
      <c r="FE290" s="1631"/>
      <c r="FF290" s="1631"/>
      <c r="FG290" s="1631"/>
      <c r="FH290" s="1631"/>
      <c r="FI290" s="1631"/>
      <c r="FJ290" s="1631"/>
      <c r="FK290" s="1631"/>
      <c r="FL290" s="1631"/>
      <c r="FM290" s="1631"/>
      <c r="FN290" s="1631"/>
      <c r="FO290" s="1631"/>
      <c r="FP290" s="1631"/>
      <c r="FQ290" s="1631"/>
      <c r="FR290" s="1631"/>
      <c r="FS290" s="1631"/>
      <c r="FT290" s="1631"/>
      <c r="FU290" s="1631"/>
      <c r="FV290" s="1631"/>
      <c r="FW290" s="1631"/>
      <c r="FX290" s="1631"/>
      <c r="FY290" s="1631"/>
      <c r="FZ290" s="1631"/>
      <c r="GA290" s="1631"/>
      <c r="GB290" s="1631"/>
      <c r="GC290" s="1631"/>
      <c r="GD290" s="1631"/>
      <c r="GE290" s="1631"/>
      <c r="GF290" s="1631"/>
      <c r="GG290" s="1631"/>
      <c r="GH290" s="1631"/>
      <c r="GI290" s="1631"/>
      <c r="GJ290" s="1631"/>
      <c r="GK290" s="1631"/>
      <c r="GL290" s="1631"/>
      <c r="GM290" s="1631"/>
      <c r="GN290" s="1631"/>
      <c r="GO290" s="1631"/>
      <c r="GP290" s="1631"/>
      <c r="GQ290" s="1631"/>
      <c r="GR290" s="1631"/>
      <c r="GS290" s="1631"/>
      <c r="GT290" s="1631"/>
      <c r="GU290" s="1631"/>
      <c r="GV290" s="1631"/>
      <c r="GW290" s="1631"/>
      <c r="GX290" s="1631"/>
      <c r="GY290" s="1631"/>
      <c r="GZ290" s="1631"/>
      <c r="HA290" s="1631"/>
      <c r="HB290" s="1631"/>
      <c r="HC290" s="1631"/>
      <c r="HD290" s="1631"/>
      <c r="HE290" s="1631"/>
      <c r="HF290" s="1631"/>
      <c r="HG290" s="1631"/>
      <c r="HH290" s="1631"/>
      <c r="HI290" s="1631"/>
      <c r="HJ290" s="1631"/>
      <c r="HK290" s="1631"/>
      <c r="HL290" s="1631"/>
      <c r="HM290" s="1631"/>
      <c r="HN290" s="1631"/>
      <c r="HO290" s="1631"/>
      <c r="HP290" s="1631"/>
      <c r="HQ290" s="1631"/>
      <c r="HR290" s="1631"/>
      <c r="HS290" s="1631"/>
      <c r="HT290" s="1631"/>
      <c r="HU290" s="1631"/>
      <c r="HV290" s="1631"/>
      <c r="HW290" s="1631"/>
      <c r="HX290" s="1631"/>
      <c r="HY290" s="1631"/>
      <c r="HZ290" s="1631"/>
      <c r="IA290" s="1631"/>
      <c r="IB290" s="1631"/>
      <c r="IC290" s="1631"/>
      <c r="ID290" s="1631"/>
      <c r="IE290" s="1631"/>
      <c r="IF290" s="1631"/>
      <c r="IG290" s="1631"/>
      <c r="IH290" s="1631"/>
      <c r="II290" s="1631"/>
      <c r="IJ290" s="1631"/>
      <c r="IK290" s="1631"/>
      <c r="IL290" s="1631"/>
      <c r="IM290" s="1631"/>
      <c r="IN290" s="1631"/>
      <c r="IO290" s="1631"/>
      <c r="IP290" s="1631"/>
      <c r="IQ290" s="1631"/>
      <c r="IR290" s="1631"/>
    </row>
    <row r="291" spans="1:252" s="1640" customFormat="1" ht="38.25">
      <c r="A291" s="1117">
        <v>1</v>
      </c>
      <c r="B291" s="1635" t="s">
        <v>74</v>
      </c>
      <c r="C291" s="1635"/>
      <c r="D291" s="1133"/>
      <c r="E291" s="1119" t="s">
        <v>37</v>
      </c>
      <c r="F291" s="1537" t="s">
        <v>387</v>
      </c>
      <c r="G291" s="1119" t="s">
        <v>355</v>
      </c>
      <c r="H291" s="1122">
        <v>2016</v>
      </c>
      <c r="I291" s="1122"/>
      <c r="J291" s="1122">
        <v>2021</v>
      </c>
      <c r="K291" s="1122"/>
      <c r="L291" s="1122"/>
      <c r="M291" s="1131" t="s">
        <v>84</v>
      </c>
      <c r="N291" s="1132">
        <v>146500</v>
      </c>
      <c r="O291" s="1132"/>
      <c r="P291" s="1132">
        <v>10500</v>
      </c>
      <c r="Q291" s="1132">
        <v>2500</v>
      </c>
      <c r="R291" s="1132"/>
      <c r="S291" s="1133">
        <v>2500</v>
      </c>
      <c r="T291" s="1133">
        <v>7350</v>
      </c>
      <c r="U291" s="1134">
        <v>4850</v>
      </c>
      <c r="V291" s="821">
        <f>VLOOKUP($B291,QD!$B$9:$L$316,10,0)</f>
        <v>1000</v>
      </c>
      <c r="W291" s="821">
        <v>1000</v>
      </c>
      <c r="X291" s="821">
        <v>0</v>
      </c>
      <c r="Y291" s="1135"/>
      <c r="Z291" s="821">
        <f t="shared" si="110"/>
        <v>1000</v>
      </c>
      <c r="AA291" s="968">
        <f t="shared" ref="AA291" si="169">Q291+$Z291</f>
        <v>3500</v>
      </c>
      <c r="AB291" s="968">
        <f t="shared" ref="AB291" si="170">R291+$Z291</f>
        <v>1000</v>
      </c>
      <c r="AC291" s="968">
        <f t="shared" ref="AC291" si="171">S291+$Z291</f>
        <v>3500</v>
      </c>
      <c r="AD291" s="968">
        <f t="shared" ref="AD291" si="172">T291</f>
        <v>7350</v>
      </c>
      <c r="AE291" s="968">
        <f t="shared" ref="AE291" si="173">U291-Z291</f>
        <v>3850</v>
      </c>
      <c r="AF291" s="1136"/>
      <c r="AG291" s="821"/>
      <c r="AH291" s="1221" t="s">
        <v>587</v>
      </c>
      <c r="AI291" s="1636"/>
      <c r="AJ291" s="1637">
        <f t="shared" si="168"/>
        <v>146500</v>
      </c>
      <c r="AK291" s="1638"/>
      <c r="AL291" s="1638"/>
      <c r="AM291" s="1639"/>
      <c r="AN291" s="1636"/>
      <c r="AO291" s="1636"/>
      <c r="AP291" s="1636"/>
      <c r="AQ291" s="1636"/>
      <c r="AR291" s="1636"/>
      <c r="AS291" s="1636"/>
      <c r="AT291" s="1636"/>
      <c r="AU291" s="1636"/>
      <c r="AV291" s="1636"/>
      <c r="AW291" s="1636"/>
      <c r="AX291" s="1636"/>
      <c r="AY291" s="1636"/>
      <c r="AZ291" s="1636"/>
      <c r="BA291" s="1636"/>
      <c r="BB291" s="1636"/>
      <c r="BC291" s="1636"/>
      <c r="BD291" s="1636"/>
      <c r="BE291" s="1636"/>
      <c r="BF291" s="1636"/>
      <c r="BG291" s="1636"/>
      <c r="BH291" s="1636"/>
      <c r="BI291" s="1636"/>
      <c r="BJ291" s="1636"/>
      <c r="BK291" s="1636"/>
      <c r="BL291" s="1636"/>
      <c r="BM291" s="1636"/>
      <c r="BN291" s="1636"/>
      <c r="BO291" s="1636"/>
      <c r="BP291" s="1636"/>
      <c r="BQ291" s="1636"/>
      <c r="BR291" s="1636"/>
      <c r="BS291" s="1636"/>
      <c r="BT291" s="1636"/>
      <c r="BU291" s="1636"/>
      <c r="BV291" s="1636"/>
      <c r="BW291" s="1636"/>
      <c r="BX291" s="1636"/>
      <c r="BY291" s="1636"/>
      <c r="BZ291" s="1636"/>
      <c r="CA291" s="1636"/>
      <c r="CB291" s="1636"/>
      <c r="CC291" s="1636"/>
      <c r="CD291" s="1636"/>
      <c r="CE291" s="1636"/>
      <c r="CF291" s="1636"/>
      <c r="CG291" s="1636"/>
      <c r="CH291" s="1636"/>
      <c r="CI291" s="1636"/>
      <c r="CJ291" s="1636"/>
      <c r="CK291" s="1636"/>
      <c r="CL291" s="1636"/>
      <c r="CM291" s="1636"/>
      <c r="CN291" s="1636"/>
      <c r="CO291" s="1636"/>
      <c r="CP291" s="1636"/>
      <c r="CQ291" s="1636"/>
      <c r="CR291" s="1636"/>
      <c r="CS291" s="1636"/>
      <c r="CT291" s="1636"/>
      <c r="CU291" s="1636"/>
      <c r="CV291" s="1636"/>
      <c r="CW291" s="1636"/>
      <c r="CX291" s="1636"/>
      <c r="CY291" s="1636"/>
      <c r="CZ291" s="1636"/>
      <c r="DA291" s="1636"/>
      <c r="DB291" s="1636"/>
      <c r="DC291" s="1636"/>
      <c r="DD291" s="1636"/>
      <c r="DE291" s="1636"/>
      <c r="DF291" s="1636"/>
      <c r="DG291" s="1636"/>
      <c r="DH291" s="1636"/>
      <c r="DI291" s="1636"/>
      <c r="DJ291" s="1636"/>
      <c r="DK291" s="1636"/>
      <c r="DL291" s="1636"/>
      <c r="DM291" s="1636"/>
      <c r="DN291" s="1636"/>
      <c r="DO291" s="1636"/>
      <c r="DP291" s="1636"/>
      <c r="DQ291" s="1636"/>
      <c r="DR291" s="1636"/>
      <c r="DS291" s="1636"/>
      <c r="DT291" s="1636"/>
      <c r="DU291" s="1636"/>
      <c r="DV291" s="1636"/>
      <c r="DW291" s="1636"/>
      <c r="DX291" s="1636"/>
      <c r="DY291" s="1636"/>
      <c r="DZ291" s="1636"/>
      <c r="EA291" s="1636"/>
      <c r="EB291" s="1636"/>
      <c r="EC291" s="1636"/>
      <c r="ED291" s="1636"/>
      <c r="EE291" s="1636"/>
      <c r="EF291" s="1636"/>
      <c r="EG291" s="1636"/>
      <c r="EH291" s="1636"/>
      <c r="EI291" s="1636"/>
      <c r="EJ291" s="1636"/>
      <c r="EK291" s="1636"/>
      <c r="EL291" s="1636"/>
      <c r="EM291" s="1636"/>
      <c r="EN291" s="1636"/>
      <c r="EO291" s="1636"/>
      <c r="EP291" s="1636"/>
      <c r="EQ291" s="1636"/>
      <c r="ER291" s="1636"/>
      <c r="ES291" s="1636"/>
      <c r="ET291" s="1636"/>
      <c r="EU291" s="1636"/>
      <c r="EV291" s="1636"/>
      <c r="EW291" s="1636"/>
      <c r="EX291" s="1636"/>
      <c r="EY291" s="1636"/>
      <c r="EZ291" s="1636"/>
      <c r="FA291" s="1636"/>
      <c r="FB291" s="1636"/>
      <c r="FC291" s="1636"/>
      <c r="FD291" s="1636"/>
      <c r="FE291" s="1636"/>
      <c r="FF291" s="1636"/>
      <c r="FG291" s="1636"/>
      <c r="FH291" s="1636"/>
      <c r="FI291" s="1636"/>
      <c r="FJ291" s="1636"/>
      <c r="FK291" s="1636"/>
      <c r="FL291" s="1636"/>
      <c r="FM291" s="1636"/>
      <c r="FN291" s="1636"/>
      <c r="FO291" s="1636"/>
      <c r="FP291" s="1636"/>
      <c r="FQ291" s="1636"/>
      <c r="FR291" s="1636"/>
      <c r="FS291" s="1636"/>
      <c r="FT291" s="1636"/>
      <c r="FU291" s="1636"/>
      <c r="FV291" s="1636"/>
      <c r="FW291" s="1636"/>
      <c r="FX291" s="1636"/>
      <c r="FY291" s="1636"/>
      <c r="FZ291" s="1636"/>
      <c r="GA291" s="1636"/>
      <c r="GB291" s="1636"/>
      <c r="GC291" s="1636"/>
      <c r="GD291" s="1636"/>
      <c r="GE291" s="1636"/>
      <c r="GF291" s="1636"/>
      <c r="GG291" s="1636"/>
      <c r="GH291" s="1636"/>
      <c r="GI291" s="1636"/>
      <c r="GJ291" s="1636"/>
      <c r="GK291" s="1636"/>
      <c r="GL291" s="1636"/>
      <c r="GM291" s="1636"/>
      <c r="GN291" s="1636"/>
      <c r="GO291" s="1636"/>
      <c r="GP291" s="1636"/>
      <c r="GQ291" s="1636"/>
      <c r="GR291" s="1636"/>
      <c r="GS291" s="1636"/>
      <c r="GT291" s="1636"/>
      <c r="GU291" s="1636"/>
      <c r="GV291" s="1636"/>
      <c r="GW291" s="1636"/>
      <c r="GX291" s="1636"/>
      <c r="GY291" s="1636"/>
      <c r="GZ291" s="1636"/>
      <c r="HA291" s="1636"/>
      <c r="HB291" s="1636"/>
      <c r="HC291" s="1636"/>
      <c r="HD291" s="1636"/>
      <c r="HE291" s="1636"/>
      <c r="HF291" s="1636"/>
      <c r="HG291" s="1636"/>
      <c r="HH291" s="1636"/>
      <c r="HI291" s="1636"/>
      <c r="HJ291" s="1636"/>
      <c r="HK291" s="1636"/>
      <c r="HL291" s="1636"/>
      <c r="HM291" s="1636"/>
      <c r="HN291" s="1636"/>
      <c r="HO291" s="1636"/>
      <c r="HP291" s="1636"/>
      <c r="HQ291" s="1636"/>
      <c r="HR291" s="1636"/>
      <c r="HS291" s="1636"/>
      <c r="HT291" s="1636"/>
      <c r="HU291" s="1636"/>
      <c r="HV291" s="1636"/>
      <c r="HW291" s="1636"/>
      <c r="HX291" s="1636"/>
      <c r="HY291" s="1636"/>
      <c r="HZ291" s="1636"/>
      <c r="IA291" s="1636"/>
      <c r="IB291" s="1636"/>
      <c r="IC291" s="1636"/>
      <c r="ID291" s="1636"/>
      <c r="IE291" s="1636"/>
      <c r="IF291" s="1636"/>
      <c r="IG291" s="1636"/>
      <c r="IH291" s="1636"/>
      <c r="II291" s="1636"/>
      <c r="IJ291" s="1636"/>
      <c r="IK291" s="1636"/>
      <c r="IL291" s="1636"/>
      <c r="IM291" s="1636"/>
      <c r="IN291" s="1636"/>
      <c r="IO291" s="1636"/>
      <c r="IP291" s="1636"/>
      <c r="IQ291" s="1636"/>
      <c r="IR291" s="1636"/>
    </row>
    <row r="292" spans="1:252" s="155" customFormat="1" ht="25.5">
      <c r="A292" s="777">
        <v>2</v>
      </c>
      <c r="B292" s="1641" t="s">
        <v>1643</v>
      </c>
      <c r="C292" s="1641"/>
      <c r="D292" s="1642"/>
      <c r="E292" s="1224" t="s">
        <v>69</v>
      </c>
      <c r="F292" s="1112" t="s">
        <v>386</v>
      </c>
      <c r="G292" s="1094" t="s">
        <v>17</v>
      </c>
      <c r="H292" s="358">
        <v>2010</v>
      </c>
      <c r="I292" s="358"/>
      <c r="J292" s="358">
        <v>2019</v>
      </c>
      <c r="K292" s="358"/>
      <c r="L292" s="358"/>
      <c r="M292" s="1137" t="s">
        <v>1604</v>
      </c>
      <c r="N292" s="1139">
        <v>122095</v>
      </c>
      <c r="O292" s="1139"/>
      <c r="P292" s="1138">
        <v>69246</v>
      </c>
      <c r="Q292" s="1139">
        <f>48813+23800+3500</f>
        <v>76113</v>
      </c>
      <c r="R292" s="1139"/>
      <c r="S292" s="1138">
        <f>8800+23800+3500+13500</f>
        <v>49600</v>
      </c>
      <c r="T292" s="1138">
        <v>60446</v>
      </c>
      <c r="U292" s="1140">
        <f>21646-2000</f>
        <v>19646</v>
      </c>
      <c r="V292" s="782">
        <f>VLOOKUP($B292,QD!$B$9:$L$316,10,0)</f>
        <v>6000</v>
      </c>
      <c r="W292" s="782">
        <v>6000</v>
      </c>
      <c r="X292" s="782">
        <v>0</v>
      </c>
      <c r="Y292" s="1141">
        <v>-5000</v>
      </c>
      <c r="Z292" s="782">
        <f t="shared" si="110"/>
        <v>1000</v>
      </c>
      <c r="AA292" s="781">
        <f t="shared" ref="AA292:AA300" si="174">Q292+$Z292</f>
        <v>77113</v>
      </c>
      <c r="AB292" s="781">
        <f t="shared" ref="AB292:AB300" si="175">R292+$Z292</f>
        <v>1000</v>
      </c>
      <c r="AC292" s="781">
        <f t="shared" ref="AC292:AC300" si="176">S292+$Z292</f>
        <v>50600</v>
      </c>
      <c r="AD292" s="781">
        <f t="shared" ref="AD292:AD300" si="177">T292</f>
        <v>60446</v>
      </c>
      <c r="AE292" s="781">
        <f t="shared" ref="AE292:AE300" si="178">U292-Z292</f>
        <v>18646</v>
      </c>
      <c r="AF292" s="1142"/>
      <c r="AG292" s="782"/>
      <c r="AH292" s="1224" t="s">
        <v>588</v>
      </c>
      <c r="AI292" s="1632"/>
      <c r="AJ292" s="1632">
        <f t="shared" si="168"/>
        <v>122095</v>
      </c>
      <c r="AK292" s="1633"/>
      <c r="AL292" s="1633"/>
      <c r="AM292" s="1634"/>
      <c r="AN292" s="1631"/>
      <c r="AO292" s="1631"/>
      <c r="AP292" s="1631"/>
      <c r="AQ292" s="1631"/>
      <c r="AR292" s="1631"/>
      <c r="AS292" s="1631"/>
      <c r="AT292" s="1631"/>
      <c r="AU292" s="1631"/>
      <c r="AV292" s="1631"/>
      <c r="AW292" s="1631"/>
      <c r="AX292" s="1631"/>
      <c r="AY292" s="1631"/>
      <c r="AZ292" s="1631"/>
      <c r="BA292" s="1631"/>
      <c r="BB292" s="1631"/>
      <c r="BC292" s="1631"/>
      <c r="BD292" s="1631"/>
      <c r="BE292" s="1631"/>
      <c r="BF292" s="1631"/>
      <c r="BG292" s="1631"/>
      <c r="BH292" s="1631"/>
      <c r="BI292" s="1631"/>
      <c r="BJ292" s="1631"/>
      <c r="BK292" s="1631"/>
      <c r="BL292" s="1631"/>
      <c r="BM292" s="1631"/>
      <c r="BN292" s="1631"/>
      <c r="BO292" s="1631"/>
      <c r="BP292" s="1631"/>
      <c r="BQ292" s="1631"/>
      <c r="BR292" s="1631"/>
      <c r="BS292" s="1631"/>
      <c r="BT292" s="1631"/>
      <c r="BU292" s="1631"/>
      <c r="BV292" s="1631"/>
      <c r="BW292" s="1631"/>
      <c r="BX292" s="1631"/>
      <c r="BY292" s="1631"/>
      <c r="BZ292" s="1631"/>
      <c r="CA292" s="1631"/>
      <c r="CB292" s="1631"/>
      <c r="CC292" s="1631"/>
      <c r="CD292" s="1631"/>
      <c r="CE292" s="1631"/>
      <c r="CF292" s="1631"/>
      <c r="CG292" s="1631"/>
      <c r="CH292" s="1631"/>
      <c r="CI292" s="1631"/>
      <c r="CJ292" s="1631"/>
      <c r="CK292" s="1631"/>
      <c r="CL292" s="1631"/>
      <c r="CM292" s="1631"/>
      <c r="CN292" s="1631"/>
      <c r="CO292" s="1631"/>
      <c r="CP292" s="1631"/>
      <c r="CQ292" s="1631"/>
      <c r="CR292" s="1631"/>
      <c r="CS292" s="1631"/>
      <c r="CT292" s="1631"/>
      <c r="CU292" s="1631"/>
      <c r="CV292" s="1631"/>
      <c r="CW292" s="1631"/>
      <c r="CX292" s="1631"/>
      <c r="CY292" s="1631"/>
      <c r="CZ292" s="1631"/>
      <c r="DA292" s="1631"/>
      <c r="DB292" s="1631"/>
      <c r="DC292" s="1631"/>
      <c r="DD292" s="1631"/>
      <c r="DE292" s="1631"/>
      <c r="DF292" s="1631"/>
      <c r="DG292" s="1631"/>
      <c r="DH292" s="1631"/>
      <c r="DI292" s="1631"/>
      <c r="DJ292" s="1631"/>
      <c r="DK292" s="1631"/>
      <c r="DL292" s="1631"/>
      <c r="DM292" s="1631"/>
      <c r="DN292" s="1631"/>
      <c r="DO292" s="1631"/>
      <c r="DP292" s="1631"/>
      <c r="DQ292" s="1631"/>
      <c r="DR292" s="1631"/>
      <c r="DS292" s="1631"/>
      <c r="DT292" s="1631"/>
      <c r="DU292" s="1631"/>
      <c r="DV292" s="1631"/>
      <c r="DW292" s="1631"/>
      <c r="DX292" s="1631"/>
      <c r="DY292" s="1631"/>
      <c r="DZ292" s="1631"/>
      <c r="EA292" s="1631"/>
      <c r="EB292" s="1631"/>
      <c r="EC292" s="1631"/>
      <c r="ED292" s="1631"/>
      <c r="EE292" s="1631"/>
      <c r="EF292" s="1631"/>
      <c r="EG292" s="1631"/>
      <c r="EH292" s="1631"/>
      <c r="EI292" s="1631"/>
      <c r="EJ292" s="1631"/>
      <c r="EK292" s="1631"/>
      <c r="EL292" s="1631"/>
      <c r="EM292" s="1631"/>
      <c r="EN292" s="1631"/>
      <c r="EO292" s="1631"/>
      <c r="EP292" s="1631"/>
      <c r="EQ292" s="1631"/>
      <c r="ER292" s="1631"/>
      <c r="ES292" s="1631"/>
      <c r="ET292" s="1631"/>
      <c r="EU292" s="1631"/>
      <c r="EV292" s="1631"/>
      <c r="EW292" s="1631"/>
      <c r="EX292" s="1631"/>
      <c r="EY292" s="1631"/>
      <c r="EZ292" s="1631"/>
      <c r="FA292" s="1631"/>
      <c r="FB292" s="1631"/>
      <c r="FC292" s="1631"/>
      <c r="FD292" s="1631"/>
      <c r="FE292" s="1631"/>
      <c r="FF292" s="1631"/>
      <c r="FG292" s="1631"/>
      <c r="FH292" s="1631"/>
      <c r="FI292" s="1631"/>
      <c r="FJ292" s="1631"/>
      <c r="FK292" s="1631"/>
      <c r="FL292" s="1631"/>
      <c r="FM292" s="1631"/>
      <c r="FN292" s="1631"/>
      <c r="FO292" s="1631"/>
      <c r="FP292" s="1631"/>
      <c r="FQ292" s="1631"/>
      <c r="FR292" s="1631"/>
      <c r="FS292" s="1631"/>
      <c r="FT292" s="1631"/>
      <c r="FU292" s="1631"/>
      <c r="FV292" s="1631"/>
      <c r="FW292" s="1631"/>
      <c r="FX292" s="1631"/>
      <c r="FY292" s="1631"/>
      <c r="FZ292" s="1631"/>
      <c r="GA292" s="1631"/>
      <c r="GB292" s="1631"/>
      <c r="GC292" s="1631"/>
      <c r="GD292" s="1631"/>
      <c r="GE292" s="1631"/>
      <c r="GF292" s="1631"/>
      <c r="GG292" s="1631"/>
      <c r="GH292" s="1631"/>
      <c r="GI292" s="1631"/>
      <c r="GJ292" s="1631"/>
      <c r="GK292" s="1631"/>
      <c r="GL292" s="1631"/>
      <c r="GM292" s="1631"/>
      <c r="GN292" s="1631"/>
      <c r="GO292" s="1631"/>
      <c r="GP292" s="1631"/>
      <c r="GQ292" s="1631"/>
      <c r="GR292" s="1631"/>
      <c r="GS292" s="1631"/>
      <c r="GT292" s="1631"/>
      <c r="GU292" s="1631"/>
      <c r="GV292" s="1631"/>
      <c r="GW292" s="1631"/>
      <c r="GX292" s="1631"/>
      <c r="GY292" s="1631"/>
      <c r="GZ292" s="1631"/>
      <c r="HA292" s="1631"/>
      <c r="HB292" s="1631"/>
      <c r="HC292" s="1631"/>
      <c r="HD292" s="1631"/>
      <c r="HE292" s="1631"/>
      <c r="HF292" s="1631"/>
      <c r="HG292" s="1631"/>
      <c r="HH292" s="1631"/>
      <c r="HI292" s="1631"/>
      <c r="HJ292" s="1631"/>
      <c r="HK292" s="1631"/>
      <c r="HL292" s="1631"/>
      <c r="HM292" s="1631"/>
      <c r="HN292" s="1631"/>
      <c r="HO292" s="1631"/>
      <c r="HP292" s="1631"/>
      <c r="HQ292" s="1631"/>
      <c r="HR292" s="1631"/>
      <c r="HS292" s="1631"/>
      <c r="HT292" s="1631"/>
      <c r="HU292" s="1631"/>
      <c r="HV292" s="1631"/>
      <c r="HW292" s="1631"/>
      <c r="HX292" s="1631"/>
      <c r="HY292" s="1631"/>
      <c r="HZ292" s="1631"/>
      <c r="IA292" s="1631"/>
      <c r="IB292" s="1631"/>
      <c r="IC292" s="1631"/>
      <c r="ID292" s="1631"/>
      <c r="IE292" s="1631"/>
      <c r="IF292" s="1631"/>
      <c r="IG292" s="1631"/>
      <c r="IH292" s="1631"/>
      <c r="II292" s="1631"/>
      <c r="IJ292" s="1631"/>
      <c r="IK292" s="1631"/>
      <c r="IL292" s="1631"/>
      <c r="IM292" s="1631"/>
      <c r="IN292" s="1631"/>
      <c r="IO292" s="1631"/>
      <c r="IP292" s="1631"/>
      <c r="IQ292" s="1631"/>
      <c r="IR292" s="1631"/>
    </row>
    <row r="293" spans="1:252" s="155" customFormat="1" ht="38.25">
      <c r="A293" s="777">
        <v>3</v>
      </c>
      <c r="B293" s="1641" t="s">
        <v>582</v>
      </c>
      <c r="C293" s="1641"/>
      <c r="D293" s="1642"/>
      <c r="E293" s="1643" t="s">
        <v>69</v>
      </c>
      <c r="F293" s="780" t="s">
        <v>387</v>
      </c>
      <c r="G293" s="159" t="s">
        <v>9</v>
      </c>
      <c r="H293" s="358">
        <v>2016</v>
      </c>
      <c r="I293" s="358"/>
      <c r="J293" s="358">
        <v>2021</v>
      </c>
      <c r="K293" s="358"/>
      <c r="L293" s="358"/>
      <c r="M293" s="322" t="s">
        <v>2117</v>
      </c>
      <c r="N293" s="1139">
        <v>165282</v>
      </c>
      <c r="O293" s="1139"/>
      <c r="P293" s="1139">
        <v>165282</v>
      </c>
      <c r="Q293" s="1143">
        <f>16000+1000+1000</f>
        <v>18000</v>
      </c>
      <c r="R293" s="1143"/>
      <c r="S293" s="1143">
        <f>Q293</f>
        <v>18000</v>
      </c>
      <c r="T293" s="1138">
        <v>83000</v>
      </c>
      <c r="U293" s="1144">
        <f>63000+10000-1000</f>
        <v>72000</v>
      </c>
      <c r="V293" s="782">
        <f>VLOOKUP($B293,QD!$B$9:$L$316,10,0)</f>
        <v>10000</v>
      </c>
      <c r="W293" s="782">
        <v>10000</v>
      </c>
      <c r="X293" s="782">
        <v>0</v>
      </c>
      <c r="Y293" s="1141">
        <f>12800</f>
        <v>12800</v>
      </c>
      <c r="Z293" s="782">
        <f t="shared" si="110"/>
        <v>22800</v>
      </c>
      <c r="AA293" s="1145">
        <f t="shared" si="174"/>
        <v>40800</v>
      </c>
      <c r="AB293" s="1145">
        <f t="shared" si="175"/>
        <v>22800</v>
      </c>
      <c r="AC293" s="1145">
        <f t="shared" si="176"/>
        <v>40800</v>
      </c>
      <c r="AD293" s="1145">
        <f t="shared" si="177"/>
        <v>83000</v>
      </c>
      <c r="AE293" s="1145">
        <f t="shared" si="178"/>
        <v>49200</v>
      </c>
      <c r="AF293" s="1142"/>
      <c r="AG293" s="782"/>
      <c r="AH293" s="1644" t="s">
        <v>589</v>
      </c>
      <c r="AI293" s="1631" t="s">
        <v>2099</v>
      </c>
      <c r="AJ293" s="1632" t="e">
        <f t="shared" si="168"/>
        <v>#VALUE!</v>
      </c>
      <c r="AK293" s="1633"/>
      <c r="AL293" s="1633"/>
      <c r="AM293" s="1634"/>
      <c r="AN293" s="1631"/>
      <c r="AO293" s="1631"/>
      <c r="AP293" s="1631"/>
      <c r="AQ293" s="1631"/>
      <c r="AR293" s="1631"/>
      <c r="AS293" s="1631"/>
      <c r="AT293" s="1631"/>
      <c r="AU293" s="1631"/>
      <c r="AV293" s="1631"/>
      <c r="AW293" s="1631"/>
      <c r="AX293" s="1631"/>
      <c r="AY293" s="1631"/>
      <c r="AZ293" s="1631"/>
      <c r="BA293" s="1631"/>
      <c r="BB293" s="1631"/>
      <c r="BC293" s="1631"/>
      <c r="BD293" s="1631"/>
      <c r="BE293" s="1631"/>
      <c r="BF293" s="1631"/>
      <c r="BG293" s="1631"/>
      <c r="BH293" s="1631"/>
      <c r="BI293" s="1631"/>
      <c r="BJ293" s="1631"/>
      <c r="BK293" s="1631"/>
      <c r="BL293" s="1631"/>
      <c r="BM293" s="1631"/>
      <c r="BN293" s="1631"/>
      <c r="BO293" s="1631"/>
      <c r="BP293" s="1631"/>
      <c r="BQ293" s="1631"/>
      <c r="BR293" s="1631"/>
      <c r="BS293" s="1631"/>
      <c r="BT293" s="1631"/>
      <c r="BU293" s="1631"/>
      <c r="BV293" s="1631"/>
      <c r="BW293" s="1631"/>
      <c r="BX293" s="1631"/>
      <c r="BY293" s="1631"/>
      <c r="BZ293" s="1631"/>
      <c r="CA293" s="1631"/>
      <c r="CB293" s="1631"/>
      <c r="CC293" s="1631"/>
      <c r="CD293" s="1631"/>
      <c r="CE293" s="1631"/>
      <c r="CF293" s="1631"/>
      <c r="CG293" s="1631"/>
      <c r="CH293" s="1631"/>
      <c r="CI293" s="1631"/>
      <c r="CJ293" s="1631"/>
      <c r="CK293" s="1631"/>
      <c r="CL293" s="1631"/>
      <c r="CM293" s="1631"/>
      <c r="CN293" s="1631"/>
      <c r="CO293" s="1631"/>
      <c r="CP293" s="1631"/>
      <c r="CQ293" s="1631"/>
      <c r="CR293" s="1631"/>
      <c r="CS293" s="1631"/>
      <c r="CT293" s="1631"/>
      <c r="CU293" s="1631"/>
      <c r="CV293" s="1631"/>
      <c r="CW293" s="1631"/>
      <c r="CX293" s="1631"/>
      <c r="CY293" s="1631"/>
      <c r="CZ293" s="1631"/>
      <c r="DA293" s="1631"/>
      <c r="DB293" s="1631"/>
      <c r="DC293" s="1631"/>
      <c r="DD293" s="1631"/>
      <c r="DE293" s="1631"/>
      <c r="DF293" s="1631"/>
      <c r="DG293" s="1631"/>
      <c r="DH293" s="1631"/>
      <c r="DI293" s="1631"/>
      <c r="DJ293" s="1631"/>
      <c r="DK293" s="1631"/>
      <c r="DL293" s="1631"/>
      <c r="DM293" s="1631"/>
      <c r="DN293" s="1631"/>
      <c r="DO293" s="1631"/>
      <c r="DP293" s="1631"/>
      <c r="DQ293" s="1631"/>
      <c r="DR293" s="1631"/>
      <c r="DS293" s="1631"/>
      <c r="DT293" s="1631"/>
      <c r="DU293" s="1631"/>
      <c r="DV293" s="1631"/>
      <c r="DW293" s="1631"/>
      <c r="DX293" s="1631"/>
      <c r="DY293" s="1631"/>
      <c r="DZ293" s="1631"/>
      <c r="EA293" s="1631"/>
      <c r="EB293" s="1631"/>
      <c r="EC293" s="1631"/>
      <c r="ED293" s="1631"/>
      <c r="EE293" s="1631"/>
      <c r="EF293" s="1631"/>
      <c r="EG293" s="1631"/>
      <c r="EH293" s="1631"/>
      <c r="EI293" s="1631"/>
      <c r="EJ293" s="1631"/>
      <c r="EK293" s="1631"/>
      <c r="EL293" s="1631"/>
      <c r="EM293" s="1631"/>
      <c r="EN293" s="1631"/>
      <c r="EO293" s="1631"/>
      <c r="EP293" s="1631"/>
      <c r="EQ293" s="1631"/>
      <c r="ER293" s="1631"/>
      <c r="ES293" s="1631"/>
      <c r="ET293" s="1631"/>
      <c r="EU293" s="1631"/>
      <c r="EV293" s="1631"/>
      <c r="EW293" s="1631"/>
      <c r="EX293" s="1631"/>
      <c r="EY293" s="1631"/>
      <c r="EZ293" s="1631"/>
      <c r="FA293" s="1631"/>
      <c r="FB293" s="1631"/>
      <c r="FC293" s="1631"/>
      <c r="FD293" s="1631"/>
      <c r="FE293" s="1631"/>
      <c r="FF293" s="1631"/>
      <c r="FG293" s="1631"/>
      <c r="FH293" s="1631"/>
      <c r="FI293" s="1631"/>
      <c r="FJ293" s="1631"/>
      <c r="FK293" s="1631"/>
      <c r="FL293" s="1631"/>
      <c r="FM293" s="1631"/>
      <c r="FN293" s="1631"/>
      <c r="FO293" s="1631"/>
      <c r="FP293" s="1631"/>
      <c r="FQ293" s="1631"/>
      <c r="FR293" s="1631"/>
      <c r="FS293" s="1631"/>
      <c r="FT293" s="1631"/>
      <c r="FU293" s="1631"/>
      <c r="FV293" s="1631"/>
      <c r="FW293" s="1631"/>
      <c r="FX293" s="1631"/>
      <c r="FY293" s="1631"/>
      <c r="FZ293" s="1631"/>
      <c r="GA293" s="1631"/>
      <c r="GB293" s="1631"/>
      <c r="GC293" s="1631"/>
      <c r="GD293" s="1631"/>
      <c r="GE293" s="1631"/>
      <c r="GF293" s="1631"/>
      <c r="GG293" s="1631"/>
      <c r="GH293" s="1631"/>
      <c r="GI293" s="1631"/>
      <c r="GJ293" s="1631"/>
      <c r="GK293" s="1631"/>
      <c r="GL293" s="1631"/>
      <c r="GM293" s="1631"/>
      <c r="GN293" s="1631"/>
      <c r="GO293" s="1631"/>
      <c r="GP293" s="1631"/>
      <c r="GQ293" s="1631"/>
      <c r="GR293" s="1631"/>
      <c r="GS293" s="1631"/>
      <c r="GT293" s="1631"/>
      <c r="GU293" s="1631"/>
      <c r="GV293" s="1631"/>
      <c r="GW293" s="1631"/>
      <c r="GX293" s="1631"/>
      <c r="GY293" s="1631"/>
      <c r="GZ293" s="1631"/>
      <c r="HA293" s="1631"/>
      <c r="HB293" s="1631"/>
      <c r="HC293" s="1631"/>
      <c r="HD293" s="1631"/>
      <c r="HE293" s="1631"/>
      <c r="HF293" s="1631"/>
      <c r="HG293" s="1631"/>
      <c r="HH293" s="1631"/>
      <c r="HI293" s="1631"/>
      <c r="HJ293" s="1631"/>
      <c r="HK293" s="1631"/>
      <c r="HL293" s="1631"/>
      <c r="HM293" s="1631"/>
      <c r="HN293" s="1631"/>
      <c r="HO293" s="1631"/>
      <c r="HP293" s="1631"/>
      <c r="HQ293" s="1631"/>
      <c r="HR293" s="1631"/>
      <c r="HS293" s="1631"/>
      <c r="HT293" s="1631"/>
      <c r="HU293" s="1631"/>
      <c r="HV293" s="1631"/>
      <c r="HW293" s="1631"/>
      <c r="HX293" s="1631"/>
      <c r="HY293" s="1631"/>
      <c r="HZ293" s="1631"/>
      <c r="IA293" s="1631"/>
      <c r="IB293" s="1631"/>
      <c r="IC293" s="1631"/>
      <c r="ID293" s="1631"/>
      <c r="IE293" s="1631"/>
      <c r="IF293" s="1631"/>
      <c r="IG293" s="1631"/>
      <c r="IH293" s="1631"/>
      <c r="II293" s="1631"/>
      <c r="IJ293" s="1631"/>
      <c r="IK293" s="1631"/>
      <c r="IL293" s="1631"/>
      <c r="IM293" s="1631"/>
      <c r="IN293" s="1631"/>
      <c r="IO293" s="1631"/>
      <c r="IP293" s="1631"/>
      <c r="IQ293" s="1631"/>
      <c r="IR293" s="1631"/>
    </row>
    <row r="294" spans="1:252" s="1640" customFormat="1" ht="38.25">
      <c r="A294" s="1117">
        <v>4</v>
      </c>
      <c r="B294" s="1635" t="s">
        <v>583</v>
      </c>
      <c r="C294" s="1635"/>
      <c r="D294" s="1133"/>
      <c r="E294" s="1645" t="s">
        <v>69</v>
      </c>
      <c r="F294" s="1537" t="s">
        <v>387</v>
      </c>
      <c r="G294" s="1119" t="s">
        <v>355</v>
      </c>
      <c r="H294" s="1122">
        <v>2017</v>
      </c>
      <c r="I294" s="1122"/>
      <c r="J294" s="1122">
        <v>2022</v>
      </c>
      <c r="K294" s="1122"/>
      <c r="L294" s="1122"/>
      <c r="M294" s="1146" t="s">
        <v>2101</v>
      </c>
      <c r="N294" s="1132">
        <v>259610</v>
      </c>
      <c r="O294" s="1132"/>
      <c r="P294" s="1132">
        <v>118162</v>
      </c>
      <c r="Q294" s="1132">
        <v>10000</v>
      </c>
      <c r="R294" s="1132"/>
      <c r="S294" s="1133">
        <v>10000</v>
      </c>
      <c r="T294" s="1132">
        <v>61000</v>
      </c>
      <c r="U294" s="1134">
        <v>51000</v>
      </c>
      <c r="V294" s="821">
        <f>VLOOKUP($B294,QD!$B$9:$L$316,10,0)</f>
        <v>10000</v>
      </c>
      <c r="W294" s="821">
        <v>10000</v>
      </c>
      <c r="X294" s="821">
        <v>0</v>
      </c>
      <c r="Y294" s="1135"/>
      <c r="Z294" s="821">
        <f t="shared" si="110"/>
        <v>10000</v>
      </c>
      <c r="AA294" s="968">
        <f t="shared" si="174"/>
        <v>20000</v>
      </c>
      <c r="AB294" s="968">
        <f t="shared" si="175"/>
        <v>10000</v>
      </c>
      <c r="AC294" s="968">
        <f t="shared" si="176"/>
        <v>20000</v>
      </c>
      <c r="AD294" s="968">
        <f t="shared" si="177"/>
        <v>61000</v>
      </c>
      <c r="AE294" s="968">
        <f t="shared" si="178"/>
        <v>41000</v>
      </c>
      <c r="AF294" s="1136"/>
      <c r="AG294" s="821"/>
      <c r="AH294" s="1221" t="s">
        <v>590</v>
      </c>
      <c r="AI294" s="1636"/>
      <c r="AJ294" s="1637">
        <f t="shared" si="168"/>
        <v>259610</v>
      </c>
      <c r="AK294" s="1638"/>
      <c r="AL294" s="1638"/>
      <c r="AM294" s="1639"/>
      <c r="AN294" s="1636"/>
      <c r="AO294" s="1636"/>
      <c r="AP294" s="1636"/>
      <c r="AQ294" s="1636"/>
      <c r="AR294" s="1636"/>
      <c r="AS294" s="1636"/>
      <c r="AT294" s="1636"/>
      <c r="AU294" s="1636"/>
      <c r="AV294" s="1636"/>
      <c r="AW294" s="1636"/>
      <c r="AX294" s="1636"/>
      <c r="AY294" s="1636"/>
      <c r="AZ294" s="1636"/>
      <c r="BA294" s="1636"/>
      <c r="BB294" s="1636"/>
      <c r="BC294" s="1636"/>
      <c r="BD294" s="1636"/>
      <c r="BE294" s="1636"/>
      <c r="BF294" s="1636"/>
      <c r="BG294" s="1636"/>
      <c r="BH294" s="1636"/>
      <c r="BI294" s="1636"/>
      <c r="BJ294" s="1636"/>
      <c r="BK294" s="1636"/>
      <c r="BL294" s="1636"/>
      <c r="BM294" s="1636"/>
      <c r="BN294" s="1636"/>
      <c r="BO294" s="1636"/>
      <c r="BP294" s="1636"/>
      <c r="BQ294" s="1636"/>
      <c r="BR294" s="1636"/>
      <c r="BS294" s="1636"/>
      <c r="BT294" s="1636"/>
      <c r="BU294" s="1636"/>
      <c r="BV294" s="1636"/>
      <c r="BW294" s="1636"/>
      <c r="BX294" s="1636"/>
      <c r="BY294" s="1636"/>
      <c r="BZ294" s="1636"/>
      <c r="CA294" s="1636"/>
      <c r="CB294" s="1636"/>
      <c r="CC294" s="1636"/>
      <c r="CD294" s="1636"/>
      <c r="CE294" s="1636"/>
      <c r="CF294" s="1636"/>
      <c r="CG294" s="1636"/>
      <c r="CH294" s="1636"/>
      <c r="CI294" s="1636"/>
      <c r="CJ294" s="1636"/>
      <c r="CK294" s="1636"/>
      <c r="CL294" s="1636"/>
      <c r="CM294" s="1636"/>
      <c r="CN294" s="1636"/>
      <c r="CO294" s="1636"/>
      <c r="CP294" s="1636"/>
      <c r="CQ294" s="1636"/>
      <c r="CR294" s="1636"/>
      <c r="CS294" s="1636"/>
      <c r="CT294" s="1636"/>
      <c r="CU294" s="1636"/>
      <c r="CV294" s="1636"/>
      <c r="CW294" s="1636"/>
      <c r="CX294" s="1636"/>
      <c r="CY294" s="1636"/>
      <c r="CZ294" s="1636"/>
      <c r="DA294" s="1636"/>
      <c r="DB294" s="1636"/>
      <c r="DC294" s="1636"/>
      <c r="DD294" s="1636"/>
      <c r="DE294" s="1636"/>
      <c r="DF294" s="1636"/>
      <c r="DG294" s="1636"/>
      <c r="DH294" s="1636"/>
      <c r="DI294" s="1636"/>
      <c r="DJ294" s="1636"/>
      <c r="DK294" s="1636"/>
      <c r="DL294" s="1636"/>
      <c r="DM294" s="1636"/>
      <c r="DN294" s="1636"/>
      <c r="DO294" s="1636"/>
      <c r="DP294" s="1636"/>
      <c r="DQ294" s="1636"/>
      <c r="DR294" s="1636"/>
      <c r="DS294" s="1636"/>
      <c r="DT294" s="1636"/>
      <c r="DU294" s="1636"/>
      <c r="DV294" s="1636"/>
      <c r="DW294" s="1636"/>
      <c r="DX294" s="1636"/>
      <c r="DY294" s="1636"/>
      <c r="DZ294" s="1636"/>
      <c r="EA294" s="1636"/>
      <c r="EB294" s="1636"/>
      <c r="EC294" s="1636"/>
      <c r="ED294" s="1636"/>
      <c r="EE294" s="1636"/>
      <c r="EF294" s="1636"/>
      <c r="EG294" s="1636"/>
      <c r="EH294" s="1636"/>
      <c r="EI294" s="1636"/>
      <c r="EJ294" s="1636"/>
      <c r="EK294" s="1636"/>
      <c r="EL294" s="1636"/>
      <c r="EM294" s="1636"/>
      <c r="EN294" s="1636"/>
      <c r="EO294" s="1636"/>
      <c r="EP294" s="1636"/>
      <c r="EQ294" s="1636"/>
      <c r="ER294" s="1636"/>
      <c r="ES294" s="1636"/>
      <c r="ET294" s="1636"/>
      <c r="EU294" s="1636"/>
      <c r="EV294" s="1636"/>
      <c r="EW294" s="1636"/>
      <c r="EX294" s="1636"/>
      <c r="EY294" s="1636"/>
      <c r="EZ294" s="1636"/>
      <c r="FA294" s="1636"/>
      <c r="FB294" s="1636"/>
      <c r="FC294" s="1636"/>
      <c r="FD294" s="1636"/>
      <c r="FE294" s="1636"/>
      <c r="FF294" s="1636"/>
      <c r="FG294" s="1636"/>
      <c r="FH294" s="1636"/>
      <c r="FI294" s="1636"/>
      <c r="FJ294" s="1636"/>
      <c r="FK294" s="1636"/>
      <c r="FL294" s="1636"/>
      <c r="FM294" s="1636"/>
      <c r="FN294" s="1636"/>
      <c r="FO294" s="1636"/>
      <c r="FP294" s="1636"/>
      <c r="FQ294" s="1636"/>
      <c r="FR294" s="1636"/>
      <c r="FS294" s="1636"/>
      <c r="FT294" s="1636"/>
      <c r="FU294" s="1636"/>
      <c r="FV294" s="1636"/>
      <c r="FW294" s="1636"/>
      <c r="FX294" s="1636"/>
      <c r="FY294" s="1636"/>
      <c r="FZ294" s="1636"/>
      <c r="GA294" s="1636"/>
      <c r="GB294" s="1636"/>
      <c r="GC294" s="1636"/>
      <c r="GD294" s="1636"/>
      <c r="GE294" s="1636"/>
      <c r="GF294" s="1636"/>
      <c r="GG294" s="1636"/>
      <c r="GH294" s="1636"/>
      <c r="GI294" s="1636"/>
      <c r="GJ294" s="1636"/>
      <c r="GK294" s="1636"/>
      <c r="GL294" s="1636"/>
      <c r="GM294" s="1636"/>
      <c r="GN294" s="1636"/>
      <c r="GO294" s="1636"/>
      <c r="GP294" s="1636"/>
      <c r="GQ294" s="1636"/>
      <c r="GR294" s="1636"/>
      <c r="GS294" s="1636"/>
      <c r="GT294" s="1636"/>
      <c r="GU294" s="1636"/>
      <c r="GV294" s="1636"/>
      <c r="GW294" s="1636"/>
      <c r="GX294" s="1636"/>
      <c r="GY294" s="1636"/>
      <c r="GZ294" s="1636"/>
      <c r="HA294" s="1636"/>
      <c r="HB294" s="1636"/>
      <c r="HC294" s="1636"/>
      <c r="HD294" s="1636"/>
      <c r="HE294" s="1636"/>
      <c r="HF294" s="1636"/>
      <c r="HG294" s="1636"/>
      <c r="HH294" s="1636"/>
      <c r="HI294" s="1636"/>
      <c r="HJ294" s="1636"/>
      <c r="HK294" s="1636"/>
      <c r="HL294" s="1636"/>
      <c r="HM294" s="1636"/>
      <c r="HN294" s="1636"/>
      <c r="HO294" s="1636"/>
      <c r="HP294" s="1636"/>
      <c r="HQ294" s="1636"/>
      <c r="HR294" s="1636"/>
      <c r="HS294" s="1636"/>
      <c r="HT294" s="1636"/>
      <c r="HU294" s="1636"/>
      <c r="HV294" s="1636"/>
      <c r="HW294" s="1636"/>
      <c r="HX294" s="1636"/>
      <c r="HY294" s="1636"/>
      <c r="HZ294" s="1636"/>
      <c r="IA294" s="1636"/>
      <c r="IB294" s="1636"/>
      <c r="IC294" s="1636"/>
      <c r="ID294" s="1636"/>
      <c r="IE294" s="1636"/>
      <c r="IF294" s="1636"/>
      <c r="IG294" s="1636"/>
      <c r="IH294" s="1636"/>
      <c r="II294" s="1636"/>
      <c r="IJ294" s="1636"/>
      <c r="IK294" s="1636"/>
      <c r="IL294" s="1636"/>
      <c r="IM294" s="1636"/>
      <c r="IN294" s="1636"/>
      <c r="IO294" s="1636"/>
      <c r="IP294" s="1636"/>
      <c r="IQ294" s="1636"/>
      <c r="IR294" s="1636"/>
    </row>
    <row r="295" spans="1:252" s="155" customFormat="1" ht="25.5">
      <c r="A295" s="777">
        <v>5</v>
      </c>
      <c r="B295" s="1646" t="s">
        <v>71</v>
      </c>
      <c r="C295" s="1646"/>
      <c r="D295" s="1647"/>
      <c r="E295" s="1643" t="s">
        <v>69</v>
      </c>
      <c r="F295" s="780" t="s">
        <v>387</v>
      </c>
      <c r="G295" s="159" t="s">
        <v>9</v>
      </c>
      <c r="H295" s="358">
        <v>2017</v>
      </c>
      <c r="I295" s="358"/>
      <c r="J295" s="358">
        <v>2022</v>
      </c>
      <c r="K295" s="358"/>
      <c r="L295" s="358"/>
      <c r="M295" s="1147" t="s">
        <v>2100</v>
      </c>
      <c r="N295" s="1138">
        <v>176000</v>
      </c>
      <c r="O295" s="1138"/>
      <c r="P295" s="1138">
        <v>95274</v>
      </c>
      <c r="Q295" s="1138">
        <v>20900</v>
      </c>
      <c r="R295" s="1138"/>
      <c r="S295" s="1138">
        <f>10900+10000</f>
        <v>20900</v>
      </c>
      <c r="T295" s="1138">
        <v>48000</v>
      </c>
      <c r="U295" s="1140">
        <f>38000-10000</f>
        <v>28000</v>
      </c>
      <c r="V295" s="782">
        <f>VLOOKUP($B295,QD!$B$9:$L$316,10,0)</f>
        <v>15000</v>
      </c>
      <c r="W295" s="782">
        <v>15000</v>
      </c>
      <c r="X295" s="782">
        <v>0</v>
      </c>
      <c r="Y295" s="1141">
        <v>4500</v>
      </c>
      <c r="Z295" s="782">
        <f t="shared" si="110"/>
        <v>19500</v>
      </c>
      <c r="AA295" s="781">
        <f t="shared" si="174"/>
        <v>40400</v>
      </c>
      <c r="AB295" s="781">
        <f t="shared" si="175"/>
        <v>19500</v>
      </c>
      <c r="AC295" s="781">
        <f t="shared" si="176"/>
        <v>40400</v>
      </c>
      <c r="AD295" s="781">
        <f t="shared" si="177"/>
        <v>48000</v>
      </c>
      <c r="AE295" s="781">
        <f t="shared" si="178"/>
        <v>8500</v>
      </c>
      <c r="AF295" s="1142"/>
      <c r="AG295" s="782"/>
      <c r="AH295" s="1648" t="s">
        <v>589</v>
      </c>
      <c r="AI295" s="1631"/>
      <c r="AJ295" s="1632">
        <f t="shared" si="168"/>
        <v>176000</v>
      </c>
      <c r="AK295" s="1633"/>
      <c r="AL295" s="1633"/>
      <c r="AM295" s="1634"/>
      <c r="AN295" s="1631"/>
      <c r="AO295" s="1631"/>
      <c r="AP295" s="1631"/>
      <c r="AQ295" s="1631"/>
      <c r="AR295" s="1631"/>
      <c r="AS295" s="1631"/>
      <c r="AT295" s="1631"/>
      <c r="AU295" s="1631"/>
      <c r="AV295" s="1631"/>
      <c r="AW295" s="1631"/>
      <c r="AX295" s="1631"/>
      <c r="AY295" s="1631"/>
      <c r="AZ295" s="1631"/>
      <c r="BA295" s="1631"/>
      <c r="BB295" s="1631"/>
      <c r="BC295" s="1631"/>
      <c r="BD295" s="1631"/>
      <c r="BE295" s="1631"/>
      <c r="BF295" s="1631"/>
      <c r="BG295" s="1631"/>
      <c r="BH295" s="1631"/>
      <c r="BI295" s="1631"/>
      <c r="BJ295" s="1631"/>
      <c r="BK295" s="1631"/>
      <c r="BL295" s="1631"/>
      <c r="BM295" s="1631"/>
      <c r="BN295" s="1631"/>
      <c r="BO295" s="1631"/>
      <c r="BP295" s="1631"/>
      <c r="BQ295" s="1631"/>
      <c r="BR295" s="1631"/>
      <c r="BS295" s="1631"/>
      <c r="BT295" s="1631"/>
      <c r="BU295" s="1631"/>
      <c r="BV295" s="1631"/>
      <c r="BW295" s="1631"/>
      <c r="BX295" s="1631"/>
      <c r="BY295" s="1631"/>
      <c r="BZ295" s="1631"/>
      <c r="CA295" s="1631"/>
      <c r="CB295" s="1631"/>
      <c r="CC295" s="1631"/>
      <c r="CD295" s="1631"/>
      <c r="CE295" s="1631"/>
      <c r="CF295" s="1631"/>
      <c r="CG295" s="1631"/>
      <c r="CH295" s="1631"/>
      <c r="CI295" s="1631"/>
      <c r="CJ295" s="1631"/>
      <c r="CK295" s="1631"/>
      <c r="CL295" s="1631"/>
      <c r="CM295" s="1631"/>
      <c r="CN295" s="1631"/>
      <c r="CO295" s="1631"/>
      <c r="CP295" s="1631"/>
      <c r="CQ295" s="1631"/>
      <c r="CR295" s="1631"/>
      <c r="CS295" s="1631"/>
      <c r="CT295" s="1631"/>
      <c r="CU295" s="1631"/>
      <c r="CV295" s="1631"/>
      <c r="CW295" s="1631"/>
      <c r="CX295" s="1631"/>
      <c r="CY295" s="1631"/>
      <c r="CZ295" s="1631"/>
      <c r="DA295" s="1631"/>
      <c r="DB295" s="1631"/>
      <c r="DC295" s="1631"/>
      <c r="DD295" s="1631"/>
      <c r="DE295" s="1631"/>
      <c r="DF295" s="1631"/>
      <c r="DG295" s="1631"/>
      <c r="DH295" s="1631"/>
      <c r="DI295" s="1631"/>
      <c r="DJ295" s="1631"/>
      <c r="DK295" s="1631"/>
      <c r="DL295" s="1631"/>
      <c r="DM295" s="1631"/>
      <c r="DN295" s="1631"/>
      <c r="DO295" s="1631"/>
      <c r="DP295" s="1631"/>
      <c r="DQ295" s="1631"/>
      <c r="DR295" s="1631"/>
      <c r="DS295" s="1631"/>
      <c r="DT295" s="1631"/>
      <c r="DU295" s="1631"/>
      <c r="DV295" s="1631"/>
      <c r="DW295" s="1631"/>
      <c r="DX295" s="1631"/>
      <c r="DY295" s="1631"/>
      <c r="DZ295" s="1631"/>
      <c r="EA295" s="1631"/>
      <c r="EB295" s="1631"/>
      <c r="EC295" s="1631"/>
      <c r="ED295" s="1631"/>
      <c r="EE295" s="1631"/>
      <c r="EF295" s="1631"/>
      <c r="EG295" s="1631"/>
      <c r="EH295" s="1631"/>
      <c r="EI295" s="1631"/>
      <c r="EJ295" s="1631"/>
      <c r="EK295" s="1631"/>
      <c r="EL295" s="1631"/>
      <c r="EM295" s="1631"/>
      <c r="EN295" s="1631"/>
      <c r="EO295" s="1631"/>
      <c r="EP295" s="1631"/>
      <c r="EQ295" s="1631"/>
      <c r="ER295" s="1631"/>
      <c r="ES295" s="1631"/>
      <c r="ET295" s="1631"/>
      <c r="EU295" s="1631"/>
      <c r="EV295" s="1631"/>
      <c r="EW295" s="1631"/>
      <c r="EX295" s="1631"/>
      <c r="EY295" s="1631"/>
      <c r="EZ295" s="1631"/>
      <c r="FA295" s="1631"/>
      <c r="FB295" s="1631"/>
      <c r="FC295" s="1631"/>
      <c r="FD295" s="1631"/>
      <c r="FE295" s="1631"/>
      <c r="FF295" s="1631"/>
      <c r="FG295" s="1631"/>
      <c r="FH295" s="1631"/>
      <c r="FI295" s="1631"/>
      <c r="FJ295" s="1631"/>
      <c r="FK295" s="1631"/>
      <c r="FL295" s="1631"/>
      <c r="FM295" s="1631"/>
      <c r="FN295" s="1631"/>
      <c r="FO295" s="1631"/>
      <c r="FP295" s="1631"/>
      <c r="FQ295" s="1631"/>
      <c r="FR295" s="1631"/>
      <c r="FS295" s="1631"/>
      <c r="FT295" s="1631"/>
      <c r="FU295" s="1631"/>
      <c r="FV295" s="1631"/>
      <c r="FW295" s="1631"/>
      <c r="FX295" s="1631"/>
      <c r="FY295" s="1631"/>
      <c r="FZ295" s="1631"/>
      <c r="GA295" s="1631"/>
      <c r="GB295" s="1631"/>
      <c r="GC295" s="1631"/>
      <c r="GD295" s="1631"/>
      <c r="GE295" s="1631"/>
      <c r="GF295" s="1631"/>
      <c r="GG295" s="1631"/>
      <c r="GH295" s="1631"/>
      <c r="GI295" s="1631"/>
      <c r="GJ295" s="1631"/>
      <c r="GK295" s="1631"/>
      <c r="GL295" s="1631"/>
      <c r="GM295" s="1631"/>
      <c r="GN295" s="1631"/>
      <c r="GO295" s="1631"/>
      <c r="GP295" s="1631"/>
      <c r="GQ295" s="1631"/>
      <c r="GR295" s="1631"/>
      <c r="GS295" s="1631"/>
      <c r="GT295" s="1631"/>
      <c r="GU295" s="1631"/>
      <c r="GV295" s="1631"/>
      <c r="GW295" s="1631"/>
      <c r="GX295" s="1631"/>
      <c r="GY295" s="1631"/>
      <c r="GZ295" s="1631"/>
      <c r="HA295" s="1631"/>
      <c r="HB295" s="1631"/>
      <c r="HC295" s="1631"/>
      <c r="HD295" s="1631"/>
      <c r="HE295" s="1631"/>
      <c r="HF295" s="1631"/>
      <c r="HG295" s="1631"/>
      <c r="HH295" s="1631"/>
      <c r="HI295" s="1631"/>
      <c r="HJ295" s="1631"/>
      <c r="HK295" s="1631"/>
      <c r="HL295" s="1631"/>
      <c r="HM295" s="1631"/>
      <c r="HN295" s="1631"/>
      <c r="HO295" s="1631"/>
      <c r="HP295" s="1631"/>
      <c r="HQ295" s="1631"/>
      <c r="HR295" s="1631"/>
      <c r="HS295" s="1631"/>
      <c r="HT295" s="1631"/>
      <c r="HU295" s="1631"/>
      <c r="HV295" s="1631"/>
      <c r="HW295" s="1631"/>
      <c r="HX295" s="1631"/>
      <c r="HY295" s="1631"/>
      <c r="HZ295" s="1631"/>
      <c r="IA295" s="1631"/>
      <c r="IB295" s="1631"/>
      <c r="IC295" s="1631"/>
      <c r="ID295" s="1631"/>
      <c r="IE295" s="1631"/>
      <c r="IF295" s="1631"/>
      <c r="IG295" s="1631"/>
      <c r="IH295" s="1631"/>
      <c r="II295" s="1631"/>
      <c r="IJ295" s="1631"/>
      <c r="IK295" s="1631"/>
      <c r="IL295" s="1631"/>
      <c r="IM295" s="1631"/>
      <c r="IN295" s="1631"/>
      <c r="IO295" s="1631"/>
      <c r="IP295" s="1631"/>
      <c r="IQ295" s="1631"/>
      <c r="IR295" s="1631"/>
    </row>
    <row r="296" spans="1:252" s="155" customFormat="1" ht="38.25">
      <c r="A296" s="777">
        <v>6</v>
      </c>
      <c r="B296" s="1641" t="s">
        <v>70</v>
      </c>
      <c r="C296" s="1641"/>
      <c r="D296" s="1642"/>
      <c r="E296" s="159" t="s">
        <v>41</v>
      </c>
      <c r="F296" s="1112" t="s">
        <v>386</v>
      </c>
      <c r="G296" s="159" t="s">
        <v>355</v>
      </c>
      <c r="H296" s="358">
        <v>2012</v>
      </c>
      <c r="I296" s="358"/>
      <c r="J296" s="358">
        <v>2021</v>
      </c>
      <c r="K296" s="358"/>
      <c r="L296" s="358"/>
      <c r="M296" s="1148" t="s">
        <v>2096</v>
      </c>
      <c r="N296" s="1649">
        <v>30623</v>
      </c>
      <c r="O296" s="1649"/>
      <c r="P296" s="1138">
        <v>21367</v>
      </c>
      <c r="Q296" s="1138">
        <f>1400+2000+3500-200</f>
        <v>6700</v>
      </c>
      <c r="R296" s="1149"/>
      <c r="S296" s="1138">
        <f>400+2000+3500-500</f>
        <v>5400</v>
      </c>
      <c r="T296" s="1138">
        <v>29223</v>
      </c>
      <c r="U296" s="1150">
        <f>P296-S296</f>
        <v>15967</v>
      </c>
      <c r="V296" s="782">
        <f>VLOOKUP($B296,QD!$B$9:$L$316,10,0)</f>
        <v>1000</v>
      </c>
      <c r="W296" s="782">
        <v>1000</v>
      </c>
      <c r="X296" s="782">
        <v>0</v>
      </c>
      <c r="Y296" s="1135">
        <v>-1000</v>
      </c>
      <c r="Z296" s="782">
        <f t="shared" si="110"/>
        <v>0</v>
      </c>
      <c r="AA296" s="781">
        <f t="shared" si="174"/>
        <v>6700</v>
      </c>
      <c r="AB296" s="781">
        <f t="shared" si="175"/>
        <v>0</v>
      </c>
      <c r="AC296" s="781">
        <f t="shared" si="176"/>
        <v>5400</v>
      </c>
      <c r="AD296" s="781">
        <f t="shared" si="177"/>
        <v>29223</v>
      </c>
      <c r="AE296" s="781">
        <f t="shared" si="178"/>
        <v>15967</v>
      </c>
      <c r="AF296" s="1142"/>
      <c r="AG296" s="782"/>
      <c r="AH296" s="1224" t="s">
        <v>591</v>
      </c>
      <c r="AI296" s="1631"/>
      <c r="AJ296" s="1632">
        <f t="shared" si="168"/>
        <v>30623</v>
      </c>
      <c r="AK296" s="1633"/>
      <c r="AL296" s="1633"/>
      <c r="AM296" s="1634"/>
      <c r="AN296" s="1631"/>
      <c r="AO296" s="1631"/>
      <c r="AP296" s="1631"/>
      <c r="AQ296" s="1631"/>
      <c r="AR296" s="1631"/>
      <c r="AS296" s="1631"/>
      <c r="AT296" s="1631"/>
      <c r="AU296" s="1631"/>
      <c r="AV296" s="1631"/>
      <c r="AW296" s="1631"/>
      <c r="AX296" s="1631"/>
      <c r="AY296" s="1631"/>
      <c r="AZ296" s="1631"/>
      <c r="BA296" s="1631"/>
      <c r="BB296" s="1631"/>
      <c r="BC296" s="1631"/>
      <c r="BD296" s="1631"/>
      <c r="BE296" s="1631"/>
      <c r="BF296" s="1631"/>
      <c r="BG296" s="1631"/>
      <c r="BH296" s="1631"/>
      <c r="BI296" s="1631"/>
      <c r="BJ296" s="1631"/>
      <c r="BK296" s="1631"/>
      <c r="BL296" s="1631"/>
      <c r="BM296" s="1631"/>
      <c r="BN296" s="1631"/>
      <c r="BO296" s="1631"/>
      <c r="BP296" s="1631"/>
      <c r="BQ296" s="1631"/>
      <c r="BR296" s="1631"/>
      <c r="BS296" s="1631"/>
      <c r="BT296" s="1631"/>
      <c r="BU296" s="1631"/>
      <c r="BV296" s="1631"/>
      <c r="BW296" s="1631"/>
      <c r="BX296" s="1631"/>
      <c r="BY296" s="1631"/>
      <c r="BZ296" s="1631"/>
      <c r="CA296" s="1631"/>
      <c r="CB296" s="1631"/>
      <c r="CC296" s="1631"/>
      <c r="CD296" s="1631"/>
      <c r="CE296" s="1631"/>
      <c r="CF296" s="1631"/>
      <c r="CG296" s="1631"/>
      <c r="CH296" s="1631"/>
      <c r="CI296" s="1631"/>
      <c r="CJ296" s="1631"/>
      <c r="CK296" s="1631"/>
      <c r="CL296" s="1631"/>
      <c r="CM296" s="1631"/>
      <c r="CN296" s="1631"/>
      <c r="CO296" s="1631"/>
      <c r="CP296" s="1631"/>
      <c r="CQ296" s="1631"/>
      <c r="CR296" s="1631"/>
      <c r="CS296" s="1631"/>
      <c r="CT296" s="1631"/>
      <c r="CU296" s="1631"/>
      <c r="CV296" s="1631"/>
      <c r="CW296" s="1631"/>
      <c r="CX296" s="1631"/>
      <c r="CY296" s="1631"/>
      <c r="CZ296" s="1631"/>
      <c r="DA296" s="1631"/>
      <c r="DB296" s="1631"/>
      <c r="DC296" s="1631"/>
      <c r="DD296" s="1631"/>
      <c r="DE296" s="1631"/>
      <c r="DF296" s="1631"/>
      <c r="DG296" s="1631"/>
      <c r="DH296" s="1631"/>
      <c r="DI296" s="1631"/>
      <c r="DJ296" s="1631"/>
      <c r="DK296" s="1631"/>
      <c r="DL296" s="1631"/>
      <c r="DM296" s="1631"/>
      <c r="DN296" s="1631"/>
      <c r="DO296" s="1631"/>
      <c r="DP296" s="1631"/>
      <c r="DQ296" s="1631"/>
      <c r="DR296" s="1631"/>
      <c r="DS296" s="1631"/>
      <c r="DT296" s="1631"/>
      <c r="DU296" s="1631"/>
      <c r="DV296" s="1631"/>
      <c r="DW296" s="1631"/>
      <c r="DX296" s="1631"/>
      <c r="DY296" s="1631"/>
      <c r="DZ296" s="1631"/>
      <c r="EA296" s="1631"/>
      <c r="EB296" s="1631"/>
      <c r="EC296" s="1631"/>
      <c r="ED296" s="1631"/>
      <c r="EE296" s="1631"/>
      <c r="EF296" s="1631"/>
      <c r="EG296" s="1631"/>
      <c r="EH296" s="1631"/>
      <c r="EI296" s="1631"/>
      <c r="EJ296" s="1631"/>
      <c r="EK296" s="1631"/>
      <c r="EL296" s="1631"/>
      <c r="EM296" s="1631"/>
      <c r="EN296" s="1631"/>
      <c r="EO296" s="1631"/>
      <c r="EP296" s="1631"/>
      <c r="EQ296" s="1631"/>
      <c r="ER296" s="1631"/>
      <c r="ES296" s="1631"/>
      <c r="ET296" s="1631"/>
      <c r="EU296" s="1631"/>
      <c r="EV296" s="1631"/>
      <c r="EW296" s="1631"/>
      <c r="EX296" s="1631"/>
      <c r="EY296" s="1631"/>
      <c r="EZ296" s="1631"/>
      <c r="FA296" s="1631"/>
      <c r="FB296" s="1631"/>
      <c r="FC296" s="1631"/>
      <c r="FD296" s="1631"/>
      <c r="FE296" s="1631"/>
      <c r="FF296" s="1631"/>
      <c r="FG296" s="1631"/>
      <c r="FH296" s="1631"/>
      <c r="FI296" s="1631"/>
      <c r="FJ296" s="1631"/>
      <c r="FK296" s="1631"/>
      <c r="FL296" s="1631"/>
      <c r="FM296" s="1631"/>
      <c r="FN296" s="1631"/>
      <c r="FO296" s="1631"/>
      <c r="FP296" s="1631"/>
      <c r="FQ296" s="1631"/>
      <c r="FR296" s="1631"/>
      <c r="FS296" s="1631"/>
      <c r="FT296" s="1631"/>
      <c r="FU296" s="1631"/>
      <c r="FV296" s="1631"/>
      <c r="FW296" s="1631"/>
      <c r="FX296" s="1631"/>
      <c r="FY296" s="1631"/>
      <c r="FZ296" s="1631"/>
      <c r="GA296" s="1631"/>
      <c r="GB296" s="1631"/>
      <c r="GC296" s="1631"/>
      <c r="GD296" s="1631"/>
      <c r="GE296" s="1631"/>
      <c r="GF296" s="1631"/>
      <c r="GG296" s="1631"/>
      <c r="GH296" s="1631"/>
      <c r="GI296" s="1631"/>
      <c r="GJ296" s="1631"/>
      <c r="GK296" s="1631"/>
      <c r="GL296" s="1631"/>
      <c r="GM296" s="1631"/>
      <c r="GN296" s="1631"/>
      <c r="GO296" s="1631"/>
      <c r="GP296" s="1631"/>
      <c r="GQ296" s="1631"/>
      <c r="GR296" s="1631"/>
      <c r="GS296" s="1631"/>
      <c r="GT296" s="1631"/>
      <c r="GU296" s="1631"/>
      <c r="GV296" s="1631"/>
      <c r="GW296" s="1631"/>
      <c r="GX296" s="1631"/>
      <c r="GY296" s="1631"/>
      <c r="GZ296" s="1631"/>
      <c r="HA296" s="1631"/>
      <c r="HB296" s="1631"/>
      <c r="HC296" s="1631"/>
      <c r="HD296" s="1631"/>
      <c r="HE296" s="1631"/>
      <c r="HF296" s="1631"/>
      <c r="HG296" s="1631"/>
      <c r="HH296" s="1631"/>
      <c r="HI296" s="1631"/>
      <c r="HJ296" s="1631"/>
      <c r="HK296" s="1631"/>
      <c r="HL296" s="1631"/>
      <c r="HM296" s="1631"/>
      <c r="HN296" s="1631"/>
      <c r="HO296" s="1631"/>
      <c r="HP296" s="1631"/>
      <c r="HQ296" s="1631"/>
      <c r="HR296" s="1631"/>
      <c r="HS296" s="1631"/>
      <c r="HT296" s="1631"/>
      <c r="HU296" s="1631"/>
      <c r="HV296" s="1631"/>
      <c r="HW296" s="1631"/>
      <c r="HX296" s="1631"/>
      <c r="HY296" s="1631"/>
      <c r="HZ296" s="1631"/>
      <c r="IA296" s="1631"/>
      <c r="IB296" s="1631"/>
      <c r="IC296" s="1631"/>
      <c r="ID296" s="1631"/>
      <c r="IE296" s="1631"/>
      <c r="IF296" s="1631"/>
      <c r="IG296" s="1631"/>
      <c r="IH296" s="1631"/>
      <c r="II296" s="1631"/>
      <c r="IJ296" s="1631"/>
      <c r="IK296" s="1631"/>
      <c r="IL296" s="1631"/>
      <c r="IM296" s="1631"/>
      <c r="IN296" s="1631"/>
      <c r="IO296" s="1631"/>
      <c r="IP296" s="1631"/>
      <c r="IQ296" s="1631"/>
      <c r="IR296" s="1631"/>
    </row>
    <row r="297" spans="1:252" s="1640" customFormat="1" ht="25.5">
      <c r="A297" s="1117">
        <v>7</v>
      </c>
      <c r="B297" s="1650" t="s">
        <v>948</v>
      </c>
      <c r="C297" s="1650"/>
      <c r="D297" s="1651"/>
      <c r="E297" s="1119" t="s">
        <v>41</v>
      </c>
      <c r="F297" s="1120" t="s">
        <v>386</v>
      </c>
      <c r="G297" s="1119" t="s">
        <v>355</v>
      </c>
      <c r="H297" s="1122">
        <v>2013</v>
      </c>
      <c r="I297" s="1122"/>
      <c r="J297" s="1122">
        <v>2018</v>
      </c>
      <c r="K297" s="1122"/>
      <c r="L297" s="1122"/>
      <c r="M297" s="1151" t="s">
        <v>78</v>
      </c>
      <c r="N297" s="1152">
        <v>141538</v>
      </c>
      <c r="O297" s="1152"/>
      <c r="P297" s="1132">
        <v>4900</v>
      </c>
      <c r="Q297" s="1152">
        <f>2500+4000+2000+1900</f>
        <v>10400</v>
      </c>
      <c r="R297" s="1152"/>
      <c r="S297" s="1132">
        <f>500+1000+2000</f>
        <v>3500</v>
      </c>
      <c r="T297" s="1132">
        <v>4127</v>
      </c>
      <c r="U297" s="1134">
        <v>1127</v>
      </c>
      <c r="V297" s="821">
        <f>VLOOKUP($B297,QD!$B$9:$L$316,10,0)</f>
        <v>1000</v>
      </c>
      <c r="W297" s="821">
        <v>1000</v>
      </c>
      <c r="X297" s="821">
        <v>0</v>
      </c>
      <c r="Y297" s="1135"/>
      <c r="Z297" s="821">
        <f t="shared" si="110"/>
        <v>1000</v>
      </c>
      <c r="AA297" s="968">
        <f t="shared" si="174"/>
        <v>11400</v>
      </c>
      <c r="AB297" s="968">
        <f t="shared" si="175"/>
        <v>1000</v>
      </c>
      <c r="AC297" s="968">
        <f t="shared" si="176"/>
        <v>4500</v>
      </c>
      <c r="AD297" s="968">
        <f t="shared" si="177"/>
        <v>4127</v>
      </c>
      <c r="AE297" s="968">
        <f t="shared" si="178"/>
        <v>127</v>
      </c>
      <c r="AF297" s="1136"/>
      <c r="AG297" s="821"/>
      <c r="AH297" s="1652" t="s">
        <v>589</v>
      </c>
      <c r="AI297" s="1636"/>
      <c r="AJ297" s="1637">
        <f t="shared" si="168"/>
        <v>141538</v>
      </c>
      <c r="AK297" s="1638"/>
      <c r="AL297" s="1638"/>
      <c r="AM297" s="1639"/>
      <c r="AN297" s="1636"/>
      <c r="AO297" s="1636"/>
      <c r="AP297" s="1636"/>
      <c r="AQ297" s="1636"/>
      <c r="AR297" s="1636"/>
      <c r="AS297" s="1636"/>
      <c r="AT297" s="1636"/>
      <c r="AU297" s="1636"/>
      <c r="AV297" s="1636"/>
      <c r="AW297" s="1636"/>
      <c r="AX297" s="1636"/>
      <c r="AY297" s="1636"/>
      <c r="AZ297" s="1636"/>
      <c r="BA297" s="1636"/>
      <c r="BB297" s="1636"/>
      <c r="BC297" s="1636"/>
      <c r="BD297" s="1636"/>
      <c r="BE297" s="1636"/>
      <c r="BF297" s="1636"/>
      <c r="BG297" s="1636"/>
      <c r="BH297" s="1636"/>
      <c r="BI297" s="1636"/>
      <c r="BJ297" s="1636"/>
      <c r="BK297" s="1636"/>
      <c r="BL297" s="1636"/>
      <c r="BM297" s="1636"/>
      <c r="BN297" s="1636"/>
      <c r="BO297" s="1636"/>
      <c r="BP297" s="1636"/>
      <c r="BQ297" s="1636"/>
      <c r="BR297" s="1636"/>
      <c r="BS297" s="1636"/>
      <c r="BT297" s="1636"/>
      <c r="BU297" s="1636"/>
      <c r="BV297" s="1636"/>
      <c r="BW297" s="1636"/>
      <c r="BX297" s="1636"/>
      <c r="BY297" s="1636"/>
      <c r="BZ297" s="1636"/>
      <c r="CA297" s="1636"/>
      <c r="CB297" s="1636"/>
      <c r="CC297" s="1636"/>
      <c r="CD297" s="1636"/>
      <c r="CE297" s="1636"/>
      <c r="CF297" s="1636"/>
      <c r="CG297" s="1636"/>
      <c r="CH297" s="1636"/>
      <c r="CI297" s="1636"/>
      <c r="CJ297" s="1636"/>
      <c r="CK297" s="1636"/>
      <c r="CL297" s="1636"/>
      <c r="CM297" s="1636"/>
      <c r="CN297" s="1636"/>
      <c r="CO297" s="1636"/>
      <c r="CP297" s="1636"/>
      <c r="CQ297" s="1636"/>
      <c r="CR297" s="1636"/>
      <c r="CS297" s="1636"/>
      <c r="CT297" s="1636"/>
      <c r="CU297" s="1636"/>
      <c r="CV297" s="1636"/>
      <c r="CW297" s="1636"/>
      <c r="CX297" s="1636"/>
      <c r="CY297" s="1636"/>
      <c r="CZ297" s="1636"/>
      <c r="DA297" s="1636"/>
      <c r="DB297" s="1636"/>
      <c r="DC297" s="1636"/>
      <c r="DD297" s="1636"/>
      <c r="DE297" s="1636"/>
      <c r="DF297" s="1636"/>
      <c r="DG297" s="1636"/>
      <c r="DH297" s="1636"/>
      <c r="DI297" s="1636"/>
      <c r="DJ297" s="1636"/>
      <c r="DK297" s="1636"/>
      <c r="DL297" s="1636"/>
      <c r="DM297" s="1636"/>
      <c r="DN297" s="1636"/>
      <c r="DO297" s="1636"/>
      <c r="DP297" s="1636"/>
      <c r="DQ297" s="1636"/>
      <c r="DR297" s="1636"/>
      <c r="DS297" s="1636"/>
      <c r="DT297" s="1636"/>
      <c r="DU297" s="1636"/>
      <c r="DV297" s="1636"/>
      <c r="DW297" s="1636"/>
      <c r="DX297" s="1636"/>
      <c r="DY297" s="1636"/>
      <c r="DZ297" s="1636"/>
      <c r="EA297" s="1636"/>
      <c r="EB297" s="1636"/>
      <c r="EC297" s="1636"/>
      <c r="ED297" s="1636"/>
      <c r="EE297" s="1636"/>
      <c r="EF297" s="1636"/>
      <c r="EG297" s="1636"/>
      <c r="EH297" s="1636"/>
      <c r="EI297" s="1636"/>
      <c r="EJ297" s="1636"/>
      <c r="EK297" s="1636"/>
      <c r="EL297" s="1636"/>
      <c r="EM297" s="1636"/>
      <c r="EN297" s="1636"/>
      <c r="EO297" s="1636"/>
      <c r="EP297" s="1636"/>
      <c r="EQ297" s="1636"/>
      <c r="ER297" s="1636"/>
      <c r="ES297" s="1636"/>
      <c r="ET297" s="1636"/>
      <c r="EU297" s="1636"/>
      <c r="EV297" s="1636"/>
      <c r="EW297" s="1636"/>
      <c r="EX297" s="1636"/>
      <c r="EY297" s="1636"/>
      <c r="EZ297" s="1636"/>
      <c r="FA297" s="1636"/>
      <c r="FB297" s="1636"/>
      <c r="FC297" s="1636"/>
      <c r="FD297" s="1636"/>
      <c r="FE297" s="1636"/>
      <c r="FF297" s="1636"/>
      <c r="FG297" s="1636"/>
      <c r="FH297" s="1636"/>
      <c r="FI297" s="1636"/>
      <c r="FJ297" s="1636"/>
      <c r="FK297" s="1636"/>
      <c r="FL297" s="1636"/>
      <c r="FM297" s="1636"/>
      <c r="FN297" s="1636"/>
      <c r="FO297" s="1636"/>
      <c r="FP297" s="1636"/>
      <c r="FQ297" s="1636"/>
      <c r="FR297" s="1636"/>
      <c r="FS297" s="1636"/>
      <c r="FT297" s="1636"/>
      <c r="FU297" s="1636"/>
      <c r="FV297" s="1636"/>
      <c r="FW297" s="1636"/>
      <c r="FX297" s="1636"/>
      <c r="FY297" s="1636"/>
      <c r="FZ297" s="1636"/>
      <c r="GA297" s="1636"/>
      <c r="GB297" s="1636"/>
      <c r="GC297" s="1636"/>
      <c r="GD297" s="1636"/>
      <c r="GE297" s="1636"/>
      <c r="GF297" s="1636"/>
      <c r="GG297" s="1636"/>
      <c r="GH297" s="1636"/>
      <c r="GI297" s="1636"/>
      <c r="GJ297" s="1636"/>
      <c r="GK297" s="1636"/>
      <c r="GL297" s="1636"/>
      <c r="GM297" s="1636"/>
      <c r="GN297" s="1636"/>
      <c r="GO297" s="1636"/>
      <c r="GP297" s="1636"/>
      <c r="GQ297" s="1636"/>
      <c r="GR297" s="1636"/>
      <c r="GS297" s="1636"/>
      <c r="GT297" s="1636"/>
      <c r="GU297" s="1636"/>
      <c r="GV297" s="1636"/>
      <c r="GW297" s="1636"/>
      <c r="GX297" s="1636"/>
      <c r="GY297" s="1636"/>
      <c r="GZ297" s="1636"/>
      <c r="HA297" s="1636"/>
      <c r="HB297" s="1636"/>
      <c r="HC297" s="1636"/>
      <c r="HD297" s="1636"/>
      <c r="HE297" s="1636"/>
      <c r="HF297" s="1636"/>
      <c r="HG297" s="1636"/>
      <c r="HH297" s="1636"/>
      <c r="HI297" s="1636"/>
      <c r="HJ297" s="1636"/>
      <c r="HK297" s="1636"/>
      <c r="HL297" s="1636"/>
      <c r="HM297" s="1636"/>
      <c r="HN297" s="1636"/>
      <c r="HO297" s="1636"/>
      <c r="HP297" s="1636"/>
      <c r="HQ297" s="1636"/>
      <c r="HR297" s="1636"/>
      <c r="HS297" s="1636"/>
      <c r="HT297" s="1636"/>
      <c r="HU297" s="1636"/>
      <c r="HV297" s="1636"/>
      <c r="HW297" s="1636"/>
      <c r="HX297" s="1636"/>
      <c r="HY297" s="1636"/>
      <c r="HZ297" s="1636"/>
      <c r="IA297" s="1636"/>
      <c r="IB297" s="1636"/>
      <c r="IC297" s="1636"/>
      <c r="ID297" s="1636"/>
      <c r="IE297" s="1636"/>
      <c r="IF297" s="1636"/>
      <c r="IG297" s="1636"/>
      <c r="IH297" s="1636"/>
      <c r="II297" s="1636"/>
      <c r="IJ297" s="1636"/>
      <c r="IK297" s="1636"/>
      <c r="IL297" s="1636"/>
      <c r="IM297" s="1636"/>
      <c r="IN297" s="1636"/>
      <c r="IO297" s="1636"/>
      <c r="IP297" s="1636"/>
      <c r="IQ297" s="1636"/>
      <c r="IR297" s="1636"/>
    </row>
    <row r="298" spans="1:252" s="1640" customFormat="1" ht="61.5" customHeight="1">
      <c r="A298" s="1117">
        <v>8</v>
      </c>
      <c r="B298" s="1653" t="s">
        <v>75</v>
      </c>
      <c r="C298" s="1653"/>
      <c r="D298" s="1654"/>
      <c r="E298" s="1119" t="s">
        <v>41</v>
      </c>
      <c r="F298" s="1537" t="s">
        <v>387</v>
      </c>
      <c r="G298" s="1119" t="s">
        <v>355</v>
      </c>
      <c r="H298" s="1122">
        <v>2015</v>
      </c>
      <c r="I298" s="1122"/>
      <c r="J298" s="1122">
        <v>2018</v>
      </c>
      <c r="K298" s="1122"/>
      <c r="L298" s="1122"/>
      <c r="M298" s="1131" t="s">
        <v>85</v>
      </c>
      <c r="N298" s="1132">
        <v>6339</v>
      </c>
      <c r="O298" s="1132"/>
      <c r="P298" s="1132">
        <v>6339</v>
      </c>
      <c r="Q298" s="1132">
        <f>1000+2500+200+300</f>
        <v>4000</v>
      </c>
      <c r="R298" s="1132"/>
      <c r="S298" s="1132">
        <f>1000+2500+500</f>
        <v>4000</v>
      </c>
      <c r="T298" s="1132">
        <v>6339</v>
      </c>
      <c r="U298" s="1134">
        <f>P298-S298</f>
        <v>2339</v>
      </c>
      <c r="V298" s="821">
        <f>VLOOKUP($B298,QD!$B$9:$L$316,10,0)</f>
        <v>1500</v>
      </c>
      <c r="W298" s="821">
        <v>1500</v>
      </c>
      <c r="X298" s="821">
        <v>0</v>
      </c>
      <c r="Y298" s="1135"/>
      <c r="Z298" s="821">
        <f t="shared" si="110"/>
        <v>1500</v>
      </c>
      <c r="AA298" s="968">
        <f t="shared" si="174"/>
        <v>5500</v>
      </c>
      <c r="AB298" s="968">
        <f t="shared" si="175"/>
        <v>1500</v>
      </c>
      <c r="AC298" s="968">
        <f t="shared" si="176"/>
        <v>5500</v>
      </c>
      <c r="AD298" s="968">
        <f t="shared" si="177"/>
        <v>6339</v>
      </c>
      <c r="AE298" s="968">
        <f t="shared" si="178"/>
        <v>839</v>
      </c>
      <c r="AF298" s="1136"/>
      <c r="AG298" s="821"/>
      <c r="AH298" s="1221" t="s">
        <v>591</v>
      </c>
      <c r="AI298" s="1636"/>
      <c r="AJ298" s="1637">
        <f t="shared" si="168"/>
        <v>6339</v>
      </c>
      <c r="AK298" s="1638"/>
      <c r="AL298" s="1638"/>
      <c r="AM298" s="1639"/>
      <c r="AN298" s="1636"/>
      <c r="AO298" s="1636"/>
      <c r="AP298" s="1636"/>
      <c r="AQ298" s="1636"/>
      <c r="AR298" s="1636"/>
      <c r="AS298" s="1636"/>
      <c r="AT298" s="1636"/>
      <c r="AU298" s="1636"/>
      <c r="AV298" s="1636"/>
      <c r="AW298" s="1636"/>
      <c r="AX298" s="1636"/>
      <c r="AY298" s="1636"/>
      <c r="AZ298" s="1636"/>
      <c r="BA298" s="1636"/>
      <c r="BB298" s="1636"/>
      <c r="BC298" s="1636"/>
      <c r="BD298" s="1636"/>
      <c r="BE298" s="1636"/>
      <c r="BF298" s="1636"/>
      <c r="BG298" s="1636"/>
      <c r="BH298" s="1636"/>
      <c r="BI298" s="1636"/>
      <c r="BJ298" s="1636"/>
      <c r="BK298" s="1636"/>
      <c r="BL298" s="1636"/>
      <c r="BM298" s="1636"/>
      <c r="BN298" s="1636"/>
      <c r="BO298" s="1636"/>
      <c r="BP298" s="1636"/>
      <c r="BQ298" s="1636"/>
      <c r="BR298" s="1636"/>
      <c r="BS298" s="1636"/>
      <c r="BT298" s="1636"/>
      <c r="BU298" s="1636"/>
      <c r="BV298" s="1636"/>
      <c r="BW298" s="1636"/>
      <c r="BX298" s="1636"/>
      <c r="BY298" s="1636"/>
      <c r="BZ298" s="1636"/>
      <c r="CA298" s="1636"/>
      <c r="CB298" s="1636"/>
      <c r="CC298" s="1636"/>
      <c r="CD298" s="1636"/>
      <c r="CE298" s="1636"/>
      <c r="CF298" s="1636"/>
      <c r="CG298" s="1636"/>
      <c r="CH298" s="1636"/>
      <c r="CI298" s="1636"/>
      <c r="CJ298" s="1636"/>
      <c r="CK298" s="1636"/>
      <c r="CL298" s="1636"/>
      <c r="CM298" s="1636"/>
      <c r="CN298" s="1636"/>
      <c r="CO298" s="1636"/>
      <c r="CP298" s="1636"/>
      <c r="CQ298" s="1636"/>
      <c r="CR298" s="1636"/>
      <c r="CS298" s="1636"/>
      <c r="CT298" s="1636"/>
      <c r="CU298" s="1636"/>
      <c r="CV298" s="1636"/>
      <c r="CW298" s="1636"/>
      <c r="CX298" s="1636"/>
      <c r="CY298" s="1636"/>
      <c r="CZ298" s="1636"/>
      <c r="DA298" s="1636"/>
      <c r="DB298" s="1636"/>
      <c r="DC298" s="1636"/>
      <c r="DD298" s="1636"/>
      <c r="DE298" s="1636"/>
      <c r="DF298" s="1636"/>
      <c r="DG298" s="1636"/>
      <c r="DH298" s="1636"/>
      <c r="DI298" s="1636"/>
      <c r="DJ298" s="1636"/>
      <c r="DK298" s="1636"/>
      <c r="DL298" s="1636"/>
      <c r="DM298" s="1636"/>
      <c r="DN298" s="1636"/>
      <c r="DO298" s="1636"/>
      <c r="DP298" s="1636"/>
      <c r="DQ298" s="1636"/>
      <c r="DR298" s="1636"/>
      <c r="DS298" s="1636"/>
      <c r="DT298" s="1636"/>
      <c r="DU298" s="1636"/>
      <c r="DV298" s="1636"/>
      <c r="DW298" s="1636"/>
      <c r="DX298" s="1636"/>
      <c r="DY298" s="1636"/>
      <c r="DZ298" s="1636"/>
      <c r="EA298" s="1636"/>
      <c r="EB298" s="1636"/>
      <c r="EC298" s="1636"/>
      <c r="ED298" s="1636"/>
      <c r="EE298" s="1636"/>
      <c r="EF298" s="1636"/>
      <c r="EG298" s="1636"/>
      <c r="EH298" s="1636"/>
      <c r="EI298" s="1636"/>
      <c r="EJ298" s="1636"/>
      <c r="EK298" s="1636"/>
      <c r="EL298" s="1636"/>
      <c r="EM298" s="1636"/>
      <c r="EN298" s="1636"/>
      <c r="EO298" s="1636"/>
      <c r="EP298" s="1636"/>
      <c r="EQ298" s="1636"/>
      <c r="ER298" s="1636"/>
      <c r="ES298" s="1636"/>
      <c r="ET298" s="1636"/>
      <c r="EU298" s="1636"/>
      <c r="EV298" s="1636"/>
      <c r="EW298" s="1636"/>
      <c r="EX298" s="1636"/>
      <c r="EY298" s="1636"/>
      <c r="EZ298" s="1636"/>
      <c r="FA298" s="1636"/>
      <c r="FB298" s="1636"/>
      <c r="FC298" s="1636"/>
      <c r="FD298" s="1636"/>
      <c r="FE298" s="1636"/>
      <c r="FF298" s="1636"/>
      <c r="FG298" s="1636"/>
      <c r="FH298" s="1636"/>
      <c r="FI298" s="1636"/>
      <c r="FJ298" s="1636"/>
      <c r="FK298" s="1636"/>
      <c r="FL298" s="1636"/>
      <c r="FM298" s="1636"/>
      <c r="FN298" s="1636"/>
      <c r="FO298" s="1636"/>
      <c r="FP298" s="1636"/>
      <c r="FQ298" s="1636"/>
      <c r="FR298" s="1636"/>
      <c r="FS298" s="1636"/>
      <c r="FT298" s="1636"/>
      <c r="FU298" s="1636"/>
      <c r="FV298" s="1636"/>
      <c r="FW298" s="1636"/>
      <c r="FX298" s="1636"/>
      <c r="FY298" s="1636"/>
      <c r="FZ298" s="1636"/>
      <c r="GA298" s="1636"/>
      <c r="GB298" s="1636"/>
      <c r="GC298" s="1636"/>
      <c r="GD298" s="1636"/>
      <c r="GE298" s="1636"/>
      <c r="GF298" s="1636"/>
      <c r="GG298" s="1636"/>
      <c r="GH298" s="1636"/>
      <c r="GI298" s="1636"/>
      <c r="GJ298" s="1636"/>
      <c r="GK298" s="1636"/>
      <c r="GL298" s="1636"/>
      <c r="GM298" s="1636"/>
      <c r="GN298" s="1636"/>
      <c r="GO298" s="1636"/>
      <c r="GP298" s="1636"/>
      <c r="GQ298" s="1636"/>
      <c r="GR298" s="1636"/>
      <c r="GS298" s="1636"/>
      <c r="GT298" s="1636"/>
      <c r="GU298" s="1636"/>
      <c r="GV298" s="1636"/>
      <c r="GW298" s="1636"/>
      <c r="GX298" s="1636"/>
      <c r="GY298" s="1636"/>
      <c r="GZ298" s="1636"/>
      <c r="HA298" s="1636"/>
      <c r="HB298" s="1636"/>
      <c r="HC298" s="1636"/>
      <c r="HD298" s="1636"/>
      <c r="HE298" s="1636"/>
      <c r="HF298" s="1636"/>
      <c r="HG298" s="1636"/>
      <c r="HH298" s="1636"/>
      <c r="HI298" s="1636"/>
      <c r="HJ298" s="1636"/>
      <c r="HK298" s="1636"/>
      <c r="HL298" s="1636"/>
      <c r="HM298" s="1636"/>
      <c r="HN298" s="1636"/>
      <c r="HO298" s="1636"/>
      <c r="HP298" s="1636"/>
      <c r="HQ298" s="1636"/>
      <c r="HR298" s="1636"/>
      <c r="HS298" s="1636"/>
      <c r="HT298" s="1636"/>
      <c r="HU298" s="1636"/>
      <c r="HV298" s="1636"/>
      <c r="HW298" s="1636"/>
      <c r="HX298" s="1636"/>
      <c r="HY298" s="1636"/>
      <c r="HZ298" s="1636"/>
      <c r="IA298" s="1636"/>
      <c r="IB298" s="1636"/>
      <c r="IC298" s="1636"/>
      <c r="ID298" s="1636"/>
      <c r="IE298" s="1636"/>
      <c r="IF298" s="1636"/>
      <c r="IG298" s="1636"/>
      <c r="IH298" s="1636"/>
      <c r="II298" s="1636"/>
      <c r="IJ298" s="1636"/>
      <c r="IK298" s="1636"/>
      <c r="IL298" s="1636"/>
      <c r="IM298" s="1636"/>
      <c r="IN298" s="1636"/>
      <c r="IO298" s="1636"/>
      <c r="IP298" s="1636"/>
      <c r="IQ298" s="1636"/>
      <c r="IR298" s="1636"/>
    </row>
    <row r="299" spans="1:252" s="1655" customFormat="1" ht="25.5">
      <c r="A299" s="1117">
        <v>9</v>
      </c>
      <c r="B299" s="1635" t="s">
        <v>73</v>
      </c>
      <c r="C299" s="1635"/>
      <c r="D299" s="1133"/>
      <c r="E299" s="1119" t="s">
        <v>41</v>
      </c>
      <c r="F299" s="1537" t="s">
        <v>387</v>
      </c>
      <c r="G299" s="1119" t="s">
        <v>355</v>
      </c>
      <c r="H299" s="1122">
        <v>2016</v>
      </c>
      <c r="I299" s="1122"/>
      <c r="J299" s="1122">
        <v>2020</v>
      </c>
      <c r="K299" s="1122"/>
      <c r="L299" s="1122"/>
      <c r="M299" s="1131" t="s">
        <v>83</v>
      </c>
      <c r="N299" s="1132">
        <v>14404</v>
      </c>
      <c r="O299" s="1132"/>
      <c r="P299" s="1132">
        <v>14404</v>
      </c>
      <c r="Q299" s="1132">
        <f>2800+3000</f>
        <v>5800</v>
      </c>
      <c r="R299" s="1132"/>
      <c r="S299" s="1132">
        <f>2800+3000</f>
        <v>5800</v>
      </c>
      <c r="T299" s="1132">
        <v>10100</v>
      </c>
      <c r="U299" s="1134">
        <v>7100</v>
      </c>
      <c r="V299" s="821">
        <f>VLOOKUP($B299,QD!$B$9:$L$316,10,0)</f>
        <v>1500</v>
      </c>
      <c r="W299" s="821">
        <v>1500</v>
      </c>
      <c r="X299" s="821">
        <v>0</v>
      </c>
      <c r="Y299" s="1153">
        <v>1700</v>
      </c>
      <c r="Z299" s="821">
        <f t="shared" si="110"/>
        <v>3200</v>
      </c>
      <c r="AA299" s="968">
        <f t="shared" si="174"/>
        <v>9000</v>
      </c>
      <c r="AB299" s="968">
        <f t="shared" si="175"/>
        <v>3200</v>
      </c>
      <c r="AC299" s="968">
        <f t="shared" si="176"/>
        <v>9000</v>
      </c>
      <c r="AD299" s="968">
        <f t="shared" si="177"/>
        <v>10100</v>
      </c>
      <c r="AE299" s="968">
        <f t="shared" si="178"/>
        <v>3900</v>
      </c>
      <c r="AF299" s="1136"/>
      <c r="AG299" s="821"/>
      <c r="AH299" s="1221" t="s">
        <v>591</v>
      </c>
      <c r="AI299" s="1636"/>
      <c r="AJ299" s="1637">
        <f t="shared" si="168"/>
        <v>14404</v>
      </c>
      <c r="AK299" s="1638"/>
      <c r="AL299" s="1638"/>
      <c r="AM299" s="1639"/>
      <c r="AN299" s="1636"/>
      <c r="AO299" s="1636"/>
      <c r="AP299" s="1636"/>
      <c r="AQ299" s="1636"/>
      <c r="AR299" s="1636"/>
      <c r="AS299" s="1636"/>
      <c r="AT299" s="1636"/>
      <c r="AU299" s="1636"/>
      <c r="AV299" s="1636"/>
      <c r="AW299" s="1636"/>
      <c r="AX299" s="1636"/>
      <c r="AY299" s="1636"/>
      <c r="AZ299" s="1636"/>
      <c r="BA299" s="1636"/>
      <c r="BB299" s="1636"/>
      <c r="BC299" s="1636"/>
      <c r="BD299" s="1636"/>
      <c r="BE299" s="1636"/>
      <c r="BF299" s="1636"/>
      <c r="BG299" s="1636"/>
      <c r="BH299" s="1636"/>
      <c r="BI299" s="1636"/>
      <c r="BJ299" s="1636"/>
      <c r="BK299" s="1636"/>
      <c r="BL299" s="1636"/>
      <c r="BM299" s="1636"/>
      <c r="BN299" s="1636"/>
      <c r="BO299" s="1636"/>
      <c r="BP299" s="1636"/>
      <c r="BQ299" s="1636"/>
      <c r="BR299" s="1636"/>
      <c r="BS299" s="1636"/>
      <c r="BT299" s="1636"/>
      <c r="BU299" s="1636"/>
      <c r="BV299" s="1636"/>
      <c r="BW299" s="1636"/>
      <c r="BX299" s="1636"/>
      <c r="BY299" s="1636"/>
      <c r="BZ299" s="1636"/>
      <c r="CA299" s="1636"/>
      <c r="CB299" s="1636"/>
      <c r="CC299" s="1636"/>
      <c r="CD299" s="1636"/>
      <c r="CE299" s="1636"/>
      <c r="CF299" s="1636"/>
      <c r="CG299" s="1636"/>
      <c r="CH299" s="1636"/>
      <c r="CI299" s="1636"/>
      <c r="CJ299" s="1636"/>
      <c r="CK299" s="1636"/>
      <c r="CL299" s="1636"/>
      <c r="CM299" s="1636"/>
      <c r="CN299" s="1636"/>
      <c r="CO299" s="1636"/>
      <c r="CP299" s="1636"/>
      <c r="CQ299" s="1636"/>
      <c r="CR299" s="1636"/>
      <c r="CS299" s="1636"/>
      <c r="CT299" s="1636"/>
      <c r="CU299" s="1636"/>
      <c r="CV299" s="1636"/>
      <c r="CW299" s="1636"/>
      <c r="CX299" s="1636"/>
      <c r="CY299" s="1636"/>
      <c r="CZ299" s="1636"/>
      <c r="DA299" s="1636"/>
      <c r="DB299" s="1636"/>
      <c r="DC299" s="1636"/>
      <c r="DD299" s="1636"/>
      <c r="DE299" s="1636"/>
      <c r="DF299" s="1636"/>
      <c r="DG299" s="1636"/>
      <c r="DH299" s="1636"/>
      <c r="DI299" s="1636"/>
      <c r="DJ299" s="1636"/>
      <c r="DK299" s="1636"/>
      <c r="DL299" s="1636"/>
      <c r="DM299" s="1636"/>
      <c r="DN299" s="1636"/>
      <c r="DO299" s="1636"/>
      <c r="DP299" s="1636"/>
      <c r="DQ299" s="1636"/>
      <c r="DR299" s="1636"/>
      <c r="DS299" s="1636"/>
      <c r="DT299" s="1636"/>
      <c r="DU299" s="1636"/>
      <c r="DV299" s="1636"/>
      <c r="DW299" s="1636"/>
      <c r="DX299" s="1636"/>
      <c r="DY299" s="1636"/>
      <c r="DZ299" s="1636"/>
      <c r="EA299" s="1636"/>
      <c r="EB299" s="1636"/>
      <c r="EC299" s="1636"/>
      <c r="ED299" s="1636"/>
      <c r="EE299" s="1636"/>
      <c r="EF299" s="1636"/>
      <c r="EG299" s="1636"/>
      <c r="EH299" s="1636"/>
      <c r="EI299" s="1636"/>
      <c r="EJ299" s="1636"/>
      <c r="EK299" s="1636"/>
      <c r="EL299" s="1636"/>
      <c r="EM299" s="1636"/>
      <c r="EN299" s="1636"/>
      <c r="EO299" s="1636"/>
      <c r="EP299" s="1636"/>
      <c r="EQ299" s="1636"/>
      <c r="ER299" s="1636"/>
      <c r="ES299" s="1636"/>
      <c r="ET299" s="1636"/>
      <c r="EU299" s="1636"/>
      <c r="EV299" s="1636"/>
      <c r="EW299" s="1636"/>
      <c r="EX299" s="1636"/>
      <c r="EY299" s="1636"/>
      <c r="EZ299" s="1636"/>
      <c r="FA299" s="1636"/>
      <c r="FB299" s="1636"/>
      <c r="FC299" s="1636"/>
      <c r="FD299" s="1636"/>
      <c r="FE299" s="1636"/>
      <c r="FF299" s="1636"/>
      <c r="FG299" s="1636"/>
      <c r="FH299" s="1636"/>
      <c r="FI299" s="1636"/>
      <c r="FJ299" s="1636"/>
      <c r="FK299" s="1636"/>
      <c r="FL299" s="1636"/>
      <c r="FM299" s="1636"/>
      <c r="FN299" s="1636"/>
      <c r="FO299" s="1636"/>
      <c r="FP299" s="1636"/>
      <c r="FQ299" s="1636"/>
      <c r="FR299" s="1636"/>
      <c r="FS299" s="1636"/>
      <c r="FT299" s="1636"/>
      <c r="FU299" s="1636"/>
      <c r="FV299" s="1636"/>
      <c r="FW299" s="1636"/>
      <c r="FX299" s="1636"/>
      <c r="FY299" s="1636"/>
      <c r="FZ299" s="1636"/>
      <c r="GA299" s="1636"/>
      <c r="GB299" s="1636"/>
      <c r="GC299" s="1636"/>
      <c r="GD299" s="1636"/>
      <c r="GE299" s="1636"/>
      <c r="GF299" s="1636"/>
      <c r="GG299" s="1636"/>
      <c r="GH299" s="1636"/>
      <c r="GI299" s="1636"/>
      <c r="GJ299" s="1636"/>
      <c r="GK299" s="1636"/>
      <c r="GL299" s="1636"/>
      <c r="GM299" s="1636"/>
      <c r="GN299" s="1636"/>
      <c r="GO299" s="1636"/>
      <c r="GP299" s="1636"/>
      <c r="GQ299" s="1636"/>
      <c r="GR299" s="1636"/>
      <c r="GS299" s="1636"/>
      <c r="GT299" s="1636"/>
      <c r="GU299" s="1636"/>
      <c r="GV299" s="1636"/>
      <c r="GW299" s="1636"/>
      <c r="GX299" s="1636"/>
      <c r="GY299" s="1636"/>
      <c r="GZ299" s="1636"/>
      <c r="HA299" s="1636"/>
      <c r="HB299" s="1636"/>
      <c r="HC299" s="1636"/>
      <c r="HD299" s="1636"/>
      <c r="HE299" s="1636"/>
      <c r="HF299" s="1636"/>
      <c r="HG299" s="1636"/>
      <c r="HH299" s="1636"/>
      <c r="HI299" s="1636"/>
      <c r="HJ299" s="1636"/>
      <c r="HK299" s="1636"/>
      <c r="HL299" s="1636"/>
      <c r="HM299" s="1636"/>
      <c r="HN299" s="1636"/>
      <c r="HO299" s="1636"/>
      <c r="HP299" s="1636"/>
      <c r="HQ299" s="1636"/>
      <c r="HR299" s="1636"/>
      <c r="HS299" s="1636"/>
      <c r="HT299" s="1636"/>
      <c r="HU299" s="1636"/>
      <c r="HV299" s="1636"/>
      <c r="HW299" s="1636"/>
      <c r="HX299" s="1636"/>
      <c r="HY299" s="1636"/>
      <c r="HZ299" s="1636"/>
      <c r="IA299" s="1636"/>
      <c r="IB299" s="1636"/>
      <c r="IC299" s="1636"/>
      <c r="ID299" s="1636"/>
      <c r="IE299" s="1636"/>
      <c r="IF299" s="1636"/>
      <c r="IG299" s="1636"/>
      <c r="IH299" s="1636"/>
      <c r="II299" s="1636"/>
      <c r="IJ299" s="1636"/>
      <c r="IK299" s="1636"/>
      <c r="IL299" s="1636"/>
      <c r="IM299" s="1636"/>
      <c r="IN299" s="1636"/>
      <c r="IO299" s="1636"/>
      <c r="IP299" s="1636"/>
      <c r="IQ299" s="1636"/>
      <c r="IR299" s="1636"/>
    </row>
    <row r="300" spans="1:252" s="1155" customFormat="1" ht="38.25">
      <c r="A300" s="1117">
        <v>10</v>
      </c>
      <c r="B300" s="1656" t="s">
        <v>72</v>
      </c>
      <c r="C300" s="1656"/>
      <c r="D300" s="1657"/>
      <c r="E300" s="1652" t="s">
        <v>340</v>
      </c>
      <c r="F300" s="1537" t="s">
        <v>387</v>
      </c>
      <c r="G300" s="1119" t="s">
        <v>355</v>
      </c>
      <c r="H300" s="1122">
        <v>2017</v>
      </c>
      <c r="I300" s="1122"/>
      <c r="J300" s="1122">
        <v>2021</v>
      </c>
      <c r="K300" s="1122"/>
      <c r="L300" s="1122"/>
      <c r="M300" s="1147" t="s">
        <v>2097</v>
      </c>
      <c r="N300" s="1132">
        <v>10125</v>
      </c>
      <c r="O300" s="1658"/>
      <c r="P300" s="1154">
        <f>N300</f>
        <v>10125</v>
      </c>
      <c r="Q300" s="1132">
        <v>0</v>
      </c>
      <c r="R300" s="1132"/>
      <c r="S300" s="1133">
        <v>0</v>
      </c>
      <c r="T300" s="1154">
        <f>U300</f>
        <v>7000</v>
      </c>
      <c r="U300" s="1154">
        <v>7000</v>
      </c>
      <c r="V300" s="821">
        <f>VLOOKUP($B300,QD!$B$9:$L$316,10,0)</f>
        <v>1000</v>
      </c>
      <c r="W300" s="821">
        <v>1000</v>
      </c>
      <c r="X300" s="821">
        <v>0</v>
      </c>
      <c r="Y300" s="1153">
        <v>-1000</v>
      </c>
      <c r="Z300" s="821">
        <f t="shared" si="110"/>
        <v>0</v>
      </c>
      <c r="AA300" s="968">
        <f t="shared" si="174"/>
        <v>0</v>
      </c>
      <c r="AB300" s="968">
        <f t="shared" si="175"/>
        <v>0</v>
      </c>
      <c r="AC300" s="968">
        <f t="shared" si="176"/>
        <v>0</v>
      </c>
      <c r="AD300" s="1145">
        <f t="shared" si="177"/>
        <v>7000</v>
      </c>
      <c r="AE300" s="1145">
        <f t="shared" si="178"/>
        <v>7000</v>
      </c>
      <c r="AF300" s="1136"/>
      <c r="AG300" s="821"/>
      <c r="AH300" s="1221" t="s">
        <v>592</v>
      </c>
      <c r="AI300" s="1155" t="s">
        <v>2098</v>
      </c>
      <c r="AJ300" s="1637"/>
      <c r="AK300" s="1156"/>
      <c r="AL300" s="1156"/>
      <c r="AM300" s="1157"/>
    </row>
    <row r="301" spans="1:252" s="1655" customFormat="1" ht="25.5">
      <c r="A301" s="1158" t="s">
        <v>472</v>
      </c>
      <c r="B301" s="1159" t="s">
        <v>584</v>
      </c>
      <c r="C301" s="1159"/>
      <c r="D301" s="1160"/>
      <c r="E301" s="1161"/>
      <c r="F301" s="1161"/>
      <c r="G301" s="1162"/>
      <c r="H301" s="1163"/>
      <c r="I301" s="1163"/>
      <c r="J301" s="1163"/>
      <c r="K301" s="1163"/>
      <c r="L301" s="1163"/>
      <c r="M301" s="1164"/>
      <c r="N301" s="1161">
        <f>SUBTOTAL(109,N302:N302)</f>
        <v>57200</v>
      </c>
      <c r="O301" s="1161">
        <f t="shared" ref="O301:W301" si="179">SUBTOTAL(109,O302:O302)</f>
        <v>0</v>
      </c>
      <c r="P301" s="1161">
        <f t="shared" si="179"/>
        <v>18500</v>
      </c>
      <c r="Q301" s="1161">
        <f t="shared" si="179"/>
        <v>0</v>
      </c>
      <c r="R301" s="1161">
        <f t="shared" si="179"/>
        <v>0</v>
      </c>
      <c r="S301" s="1161">
        <f t="shared" si="179"/>
        <v>0</v>
      </c>
      <c r="T301" s="1161">
        <f t="shared" si="179"/>
        <v>9500</v>
      </c>
      <c r="U301" s="1161">
        <f t="shared" si="179"/>
        <v>9500</v>
      </c>
      <c r="V301" s="1161">
        <f t="shared" si="179"/>
        <v>2000</v>
      </c>
      <c r="W301" s="1161">
        <f t="shared" si="179"/>
        <v>2000</v>
      </c>
      <c r="X301" s="821"/>
      <c r="Y301" s="631"/>
      <c r="Z301" s="821">
        <f t="shared" si="110"/>
        <v>2000</v>
      </c>
      <c r="AA301" s="1161">
        <f t="shared" ref="AA301:AE301" si="180">SUBTOTAL(109,AA302:AA302)</f>
        <v>0</v>
      </c>
      <c r="AB301" s="1161">
        <f t="shared" si="180"/>
        <v>0</v>
      </c>
      <c r="AC301" s="1161">
        <f t="shared" si="180"/>
        <v>0</v>
      </c>
      <c r="AD301" s="1161">
        <f t="shared" si="180"/>
        <v>9500</v>
      </c>
      <c r="AE301" s="1161">
        <f t="shared" si="180"/>
        <v>9500</v>
      </c>
      <c r="AF301" s="1161"/>
      <c r="AG301" s="821"/>
      <c r="AH301" s="1161"/>
      <c r="AI301" s="1636"/>
      <c r="AJ301" s="1637"/>
      <c r="AK301" s="1638"/>
      <c r="AL301" s="1638"/>
      <c r="AM301" s="1639"/>
      <c r="AN301" s="1636"/>
      <c r="AO301" s="1636"/>
      <c r="AP301" s="1636"/>
      <c r="AQ301" s="1636"/>
      <c r="AR301" s="1636"/>
      <c r="AS301" s="1636"/>
      <c r="AT301" s="1636"/>
      <c r="AU301" s="1636"/>
      <c r="AV301" s="1636"/>
      <c r="AW301" s="1636"/>
      <c r="AX301" s="1636"/>
      <c r="AY301" s="1636"/>
      <c r="AZ301" s="1636"/>
      <c r="BA301" s="1636"/>
      <c r="BB301" s="1636"/>
      <c r="BC301" s="1636"/>
      <c r="BD301" s="1636"/>
      <c r="BE301" s="1636"/>
      <c r="BF301" s="1636"/>
      <c r="BG301" s="1636"/>
      <c r="BH301" s="1636"/>
      <c r="BI301" s="1636"/>
      <c r="BJ301" s="1636"/>
      <c r="BK301" s="1636"/>
      <c r="BL301" s="1636"/>
      <c r="BM301" s="1636"/>
      <c r="BN301" s="1636"/>
      <c r="BO301" s="1636"/>
      <c r="BP301" s="1636"/>
      <c r="BQ301" s="1636"/>
      <c r="BR301" s="1636"/>
      <c r="BS301" s="1636"/>
      <c r="BT301" s="1636"/>
      <c r="BU301" s="1636"/>
      <c r="BV301" s="1636"/>
      <c r="BW301" s="1636"/>
      <c r="BX301" s="1636"/>
      <c r="BY301" s="1636"/>
      <c r="BZ301" s="1636"/>
      <c r="CA301" s="1636"/>
      <c r="CB301" s="1636"/>
      <c r="CC301" s="1636"/>
      <c r="CD301" s="1636"/>
      <c r="CE301" s="1636"/>
      <c r="CF301" s="1636"/>
      <c r="CG301" s="1636"/>
      <c r="CH301" s="1636"/>
      <c r="CI301" s="1636"/>
      <c r="CJ301" s="1636"/>
      <c r="CK301" s="1636"/>
      <c r="CL301" s="1636"/>
      <c r="CM301" s="1636"/>
      <c r="CN301" s="1636"/>
      <c r="CO301" s="1636"/>
      <c r="CP301" s="1636"/>
      <c r="CQ301" s="1636"/>
      <c r="CR301" s="1636"/>
      <c r="CS301" s="1636"/>
      <c r="CT301" s="1636"/>
      <c r="CU301" s="1636"/>
      <c r="CV301" s="1636"/>
      <c r="CW301" s="1636"/>
      <c r="CX301" s="1636"/>
      <c r="CY301" s="1636"/>
      <c r="CZ301" s="1636"/>
      <c r="DA301" s="1636"/>
      <c r="DB301" s="1636"/>
      <c r="DC301" s="1636"/>
      <c r="DD301" s="1636"/>
      <c r="DE301" s="1636"/>
      <c r="DF301" s="1636"/>
      <c r="DG301" s="1636"/>
      <c r="DH301" s="1636"/>
      <c r="DI301" s="1636"/>
      <c r="DJ301" s="1636"/>
      <c r="DK301" s="1636"/>
      <c r="DL301" s="1636"/>
      <c r="DM301" s="1636"/>
      <c r="DN301" s="1636"/>
      <c r="DO301" s="1636"/>
      <c r="DP301" s="1636"/>
      <c r="DQ301" s="1636"/>
      <c r="DR301" s="1636"/>
      <c r="DS301" s="1636"/>
      <c r="DT301" s="1636"/>
      <c r="DU301" s="1636"/>
      <c r="DV301" s="1636"/>
      <c r="DW301" s="1636"/>
      <c r="DX301" s="1636"/>
      <c r="DY301" s="1636"/>
      <c r="DZ301" s="1636"/>
      <c r="EA301" s="1636"/>
      <c r="EB301" s="1636"/>
      <c r="EC301" s="1636"/>
      <c r="ED301" s="1636"/>
      <c r="EE301" s="1636"/>
      <c r="EF301" s="1636"/>
      <c r="EG301" s="1636"/>
      <c r="EH301" s="1636"/>
      <c r="EI301" s="1636"/>
      <c r="EJ301" s="1636"/>
      <c r="EK301" s="1636"/>
      <c r="EL301" s="1636"/>
      <c r="EM301" s="1636"/>
      <c r="EN301" s="1636"/>
      <c r="EO301" s="1636"/>
      <c r="EP301" s="1636"/>
      <c r="EQ301" s="1636"/>
      <c r="ER301" s="1636"/>
      <c r="ES301" s="1636"/>
      <c r="ET301" s="1636"/>
      <c r="EU301" s="1636"/>
      <c r="EV301" s="1636"/>
      <c r="EW301" s="1636"/>
      <c r="EX301" s="1636"/>
      <c r="EY301" s="1636"/>
      <c r="EZ301" s="1636"/>
      <c r="FA301" s="1636"/>
      <c r="FB301" s="1636"/>
      <c r="FC301" s="1636"/>
      <c r="FD301" s="1636"/>
      <c r="FE301" s="1636"/>
      <c r="FF301" s="1636"/>
      <c r="FG301" s="1636"/>
      <c r="FH301" s="1636"/>
      <c r="FI301" s="1636"/>
      <c r="FJ301" s="1636"/>
      <c r="FK301" s="1636"/>
      <c r="FL301" s="1636"/>
      <c r="FM301" s="1636"/>
      <c r="FN301" s="1636"/>
      <c r="FO301" s="1636"/>
      <c r="FP301" s="1636"/>
      <c r="FQ301" s="1636"/>
      <c r="FR301" s="1636"/>
      <c r="FS301" s="1636"/>
      <c r="FT301" s="1636"/>
      <c r="FU301" s="1636"/>
      <c r="FV301" s="1636"/>
      <c r="FW301" s="1636"/>
      <c r="FX301" s="1636"/>
      <c r="FY301" s="1636"/>
      <c r="FZ301" s="1636"/>
      <c r="GA301" s="1636"/>
      <c r="GB301" s="1636"/>
      <c r="GC301" s="1636"/>
      <c r="GD301" s="1636"/>
      <c r="GE301" s="1636"/>
      <c r="GF301" s="1636"/>
      <c r="GG301" s="1636"/>
      <c r="GH301" s="1636"/>
      <c r="GI301" s="1636"/>
      <c r="GJ301" s="1636"/>
      <c r="GK301" s="1636"/>
      <c r="GL301" s="1636"/>
      <c r="GM301" s="1636"/>
      <c r="GN301" s="1636"/>
      <c r="GO301" s="1636"/>
      <c r="GP301" s="1636"/>
      <c r="GQ301" s="1636"/>
      <c r="GR301" s="1636"/>
      <c r="GS301" s="1636"/>
      <c r="GT301" s="1636"/>
      <c r="GU301" s="1636"/>
      <c r="GV301" s="1636"/>
      <c r="GW301" s="1636"/>
      <c r="GX301" s="1636"/>
      <c r="GY301" s="1636"/>
      <c r="GZ301" s="1636"/>
      <c r="HA301" s="1636"/>
      <c r="HB301" s="1636"/>
      <c r="HC301" s="1636"/>
      <c r="HD301" s="1636"/>
      <c r="HE301" s="1636"/>
      <c r="HF301" s="1636"/>
      <c r="HG301" s="1636"/>
      <c r="HH301" s="1636"/>
      <c r="HI301" s="1636"/>
      <c r="HJ301" s="1636"/>
      <c r="HK301" s="1636"/>
      <c r="HL301" s="1636"/>
      <c r="HM301" s="1636"/>
      <c r="HN301" s="1636"/>
      <c r="HO301" s="1636"/>
      <c r="HP301" s="1636"/>
      <c r="HQ301" s="1636"/>
      <c r="HR301" s="1636"/>
      <c r="HS301" s="1636"/>
      <c r="HT301" s="1636"/>
      <c r="HU301" s="1636"/>
      <c r="HV301" s="1636"/>
      <c r="HW301" s="1636"/>
      <c r="HX301" s="1636"/>
      <c r="HY301" s="1636"/>
      <c r="HZ301" s="1636"/>
      <c r="IA301" s="1636"/>
      <c r="IB301" s="1636"/>
      <c r="IC301" s="1636"/>
      <c r="ID301" s="1636"/>
      <c r="IE301" s="1636"/>
      <c r="IF301" s="1636"/>
      <c r="IG301" s="1636"/>
      <c r="IH301" s="1636"/>
      <c r="II301" s="1636"/>
      <c r="IJ301" s="1636"/>
      <c r="IK301" s="1636"/>
      <c r="IL301" s="1636"/>
      <c r="IM301" s="1636"/>
      <c r="IN301" s="1636"/>
      <c r="IO301" s="1636"/>
      <c r="IP301" s="1636"/>
      <c r="IQ301" s="1636"/>
      <c r="IR301" s="1636"/>
    </row>
    <row r="302" spans="1:252" s="1173" customFormat="1" ht="25.5">
      <c r="A302" s="1117">
        <v>1</v>
      </c>
      <c r="B302" s="1165" t="s">
        <v>585</v>
      </c>
      <c r="C302" s="1656"/>
      <c r="D302" s="1657"/>
      <c r="E302" s="1652"/>
      <c r="F302" s="1537"/>
      <c r="G302" s="1119" t="s">
        <v>355</v>
      </c>
      <c r="H302" s="1122">
        <v>2018</v>
      </c>
      <c r="I302" s="1122"/>
      <c r="J302" s="1122">
        <v>2023</v>
      </c>
      <c r="K302" s="1122"/>
      <c r="L302" s="1122"/>
      <c r="M302" s="1131" t="s">
        <v>2125</v>
      </c>
      <c r="N302" s="1132">
        <v>57200</v>
      </c>
      <c r="O302" s="1658"/>
      <c r="P302" s="1132">
        <v>18500</v>
      </c>
      <c r="Q302" s="1132"/>
      <c r="R302" s="1132"/>
      <c r="S302" s="1133"/>
      <c r="T302" s="1133">
        <v>9500</v>
      </c>
      <c r="U302" s="1134">
        <v>9500</v>
      </c>
      <c r="V302" s="821">
        <f>VLOOKUP($B302,QD!$B$9:$L$316,10,0)</f>
        <v>2000</v>
      </c>
      <c r="W302" s="821">
        <v>2000</v>
      </c>
      <c r="X302" s="821">
        <v>0</v>
      </c>
      <c r="Y302" s="1135">
        <v>-2000</v>
      </c>
      <c r="Z302" s="821">
        <f t="shared" ref="Z302:Z369" si="181">V302+Y302</f>
        <v>0</v>
      </c>
      <c r="AA302" s="968">
        <f t="shared" ref="AA302" si="182">Q302+$Z302</f>
        <v>0</v>
      </c>
      <c r="AB302" s="968">
        <f t="shared" ref="AB302" si="183">R302+$Z302</f>
        <v>0</v>
      </c>
      <c r="AC302" s="968">
        <f t="shared" ref="AC302" si="184">S302+$Z302</f>
        <v>0</v>
      </c>
      <c r="AD302" s="968">
        <f t="shared" ref="AD302" si="185">T302</f>
        <v>9500</v>
      </c>
      <c r="AE302" s="968">
        <f t="shared" ref="AE302" si="186">U302-Z302</f>
        <v>9500</v>
      </c>
      <c r="AF302" s="1136"/>
      <c r="AG302" s="821"/>
      <c r="AH302" s="1221" t="s">
        <v>591</v>
      </c>
      <c r="AK302" s="1174"/>
      <c r="AL302" s="1174"/>
      <c r="AM302" s="832"/>
    </row>
    <row r="303" spans="1:252" s="1173" customFormat="1" ht="30.75" customHeight="1">
      <c r="A303" s="1166" t="s">
        <v>477</v>
      </c>
      <c r="B303" s="1167" t="s">
        <v>1295</v>
      </c>
      <c r="C303" s="1167"/>
      <c r="D303" s="1167"/>
      <c r="E303" s="1167"/>
      <c r="F303" s="1167"/>
      <c r="G303" s="1168"/>
      <c r="H303" s="1169"/>
      <c r="I303" s="1169"/>
      <c r="J303" s="1169"/>
      <c r="K303" s="1169"/>
      <c r="L303" s="1169"/>
      <c r="M303" s="1170"/>
      <c r="N303" s="1171">
        <f>SUBTOTAL(109,N304:N306)</f>
        <v>286379</v>
      </c>
      <c r="O303" s="1171"/>
      <c r="P303" s="1171">
        <f t="shared" ref="P303:AE303" si="187">SUBTOTAL(109,P304:P306)</f>
        <v>50706</v>
      </c>
      <c r="Q303" s="1171"/>
      <c r="R303" s="1171"/>
      <c r="S303" s="1171"/>
      <c r="T303" s="1171"/>
      <c r="U303" s="1171"/>
      <c r="V303" s="1171"/>
      <c r="W303" s="1171"/>
      <c r="X303" s="1171"/>
      <c r="Y303" s="631">
        <f t="shared" ref="Y303" si="188">SUBTOTAL(109,Y304:Y306)</f>
        <v>0</v>
      </c>
      <c r="Z303" s="1171"/>
      <c r="AA303" s="1171">
        <f t="shared" si="187"/>
        <v>90</v>
      </c>
      <c r="AB303" s="1171"/>
      <c r="AC303" s="1171">
        <f t="shared" si="187"/>
        <v>90</v>
      </c>
      <c r="AD303" s="1171">
        <f t="shared" si="187"/>
        <v>19996</v>
      </c>
      <c r="AE303" s="1171">
        <f t="shared" si="187"/>
        <v>19906</v>
      </c>
      <c r="AF303" s="1171"/>
      <c r="AG303" s="1172"/>
      <c r="AH303" s="1172"/>
      <c r="AK303" s="1174"/>
      <c r="AL303" s="1174"/>
      <c r="AM303" s="832"/>
      <c r="AO303" s="1175"/>
      <c r="AP303" s="832"/>
      <c r="AQ303" s="1169"/>
      <c r="AS303" s="832"/>
      <c r="AT303" s="832"/>
      <c r="AU303" s="834"/>
    </row>
    <row r="304" spans="1:252" s="1173" customFormat="1" ht="51">
      <c r="A304" s="942">
        <v>1</v>
      </c>
      <c r="B304" s="1176" t="s">
        <v>1288</v>
      </c>
      <c r="C304" s="1176"/>
      <c r="D304" s="1176"/>
      <c r="E304" s="1176"/>
      <c r="F304" s="1176"/>
      <c r="G304" s="1177" t="s">
        <v>49</v>
      </c>
      <c r="H304" s="1178">
        <v>2018</v>
      </c>
      <c r="I304" s="1178"/>
      <c r="J304" s="1178">
        <v>2020</v>
      </c>
      <c r="K304" s="885"/>
      <c r="L304" s="885"/>
      <c r="M304" s="1179" t="s">
        <v>2083</v>
      </c>
      <c r="N304" s="1180">
        <v>164669</v>
      </c>
      <c r="O304" s="1180"/>
      <c r="P304" s="1180">
        <v>3996</v>
      </c>
      <c r="Q304" s="1180"/>
      <c r="R304" s="1180"/>
      <c r="S304" s="1180"/>
      <c r="T304" s="948">
        <v>3996</v>
      </c>
      <c r="U304" s="948">
        <v>3996</v>
      </c>
      <c r="V304" s="1180"/>
      <c r="W304" s="1180"/>
      <c r="X304" s="1180"/>
      <c r="Y304" s="1181"/>
      <c r="Z304" s="1180"/>
      <c r="AA304" s="968">
        <f t="shared" ref="AA304" si="189">Q304+$Z304</f>
        <v>0</v>
      </c>
      <c r="AB304" s="968">
        <f t="shared" ref="AB304" si="190">R304+$Z304</f>
        <v>0</v>
      </c>
      <c r="AC304" s="968">
        <f t="shared" ref="AC304" si="191">S304+$Z304</f>
        <v>0</v>
      </c>
      <c r="AD304" s="968">
        <f t="shared" ref="AD304" si="192">T304</f>
        <v>3996</v>
      </c>
      <c r="AE304" s="968">
        <f t="shared" ref="AE304" si="193">U304-Z304</f>
        <v>3996</v>
      </c>
      <c r="AF304" s="948"/>
      <c r="AG304" s="976"/>
      <c r="AH304" s="1757" t="s">
        <v>1289</v>
      </c>
      <c r="AK304" s="1174"/>
      <c r="AL304" s="1174"/>
      <c r="AM304" s="832"/>
      <c r="AO304" s="1182" t="s">
        <v>1290</v>
      </c>
      <c r="AP304" s="832"/>
      <c r="AQ304" s="885"/>
      <c r="AS304" s="832"/>
      <c r="AT304" s="832"/>
      <c r="AU304" s="834"/>
    </row>
    <row r="305" spans="1:47" s="1173" customFormat="1" ht="38.25">
      <c r="A305" s="942">
        <v>2</v>
      </c>
      <c r="B305" s="1176" t="s">
        <v>1291</v>
      </c>
      <c r="C305" s="1176"/>
      <c r="D305" s="1176"/>
      <c r="E305" s="1176"/>
      <c r="F305" s="1176"/>
      <c r="G305" s="1177" t="s">
        <v>9</v>
      </c>
      <c r="H305" s="1178">
        <v>2018</v>
      </c>
      <c r="I305" s="1178"/>
      <c r="J305" s="1178">
        <v>2020</v>
      </c>
      <c r="K305" s="885"/>
      <c r="L305" s="885"/>
      <c r="M305" s="1179" t="s">
        <v>2084</v>
      </c>
      <c r="N305" s="1180">
        <v>81000</v>
      </c>
      <c r="O305" s="1180"/>
      <c r="P305" s="1180">
        <v>6000</v>
      </c>
      <c r="Q305" s="1180">
        <v>90</v>
      </c>
      <c r="R305" s="1180"/>
      <c r="S305" s="1180">
        <v>90</v>
      </c>
      <c r="T305" s="948">
        <v>6000</v>
      </c>
      <c r="U305" s="948">
        <v>5910</v>
      </c>
      <c r="V305" s="1180"/>
      <c r="W305" s="1180"/>
      <c r="X305" s="1180"/>
      <c r="Y305" s="1181"/>
      <c r="Z305" s="1180"/>
      <c r="AA305" s="968">
        <f t="shared" ref="AA305:AA306" si="194">Q305+$Z305</f>
        <v>90</v>
      </c>
      <c r="AB305" s="968">
        <f t="shared" ref="AB305:AB306" si="195">R305+$Z305</f>
        <v>0</v>
      </c>
      <c r="AC305" s="968">
        <f t="shared" ref="AC305:AC306" si="196">S305+$Z305</f>
        <v>90</v>
      </c>
      <c r="AD305" s="968">
        <f t="shared" ref="AD305:AD306" si="197">T305</f>
        <v>6000</v>
      </c>
      <c r="AE305" s="968">
        <f t="shared" ref="AE305:AE306" si="198">U305-Z305</f>
        <v>5910</v>
      </c>
      <c r="AF305" s="948"/>
      <c r="AG305" s="976"/>
      <c r="AH305" s="1758"/>
      <c r="AK305" s="1174"/>
      <c r="AL305" s="1174"/>
      <c r="AM305" s="832"/>
      <c r="AO305" s="1182" t="s">
        <v>1292</v>
      </c>
      <c r="AP305" s="832"/>
      <c r="AQ305" s="1178"/>
      <c r="AS305" s="832"/>
      <c r="AT305" s="832"/>
      <c r="AU305" s="834"/>
    </row>
    <row r="306" spans="1:47" s="1173" customFormat="1" ht="38.25">
      <c r="A306" s="1183">
        <v>3</v>
      </c>
      <c r="B306" s="1184" t="s">
        <v>1293</v>
      </c>
      <c r="C306" s="1184"/>
      <c r="D306" s="1184"/>
      <c r="E306" s="1184"/>
      <c r="F306" s="1184"/>
      <c r="G306" s="1185" t="s">
        <v>355</v>
      </c>
      <c r="H306" s="1186">
        <v>2018</v>
      </c>
      <c r="I306" s="1186"/>
      <c r="J306" s="1186">
        <v>2024</v>
      </c>
      <c r="K306" s="1187"/>
      <c r="L306" s="1187"/>
      <c r="M306" s="1179" t="s">
        <v>2141</v>
      </c>
      <c r="N306" s="1188">
        <v>40710</v>
      </c>
      <c r="O306" s="1188"/>
      <c r="P306" s="1188">
        <f>N306</f>
        <v>40710</v>
      </c>
      <c r="Q306" s="1188"/>
      <c r="R306" s="1188"/>
      <c r="S306" s="1188"/>
      <c r="T306" s="1189">
        <v>10000</v>
      </c>
      <c r="U306" s="1189">
        <v>10000</v>
      </c>
      <c r="V306" s="1188"/>
      <c r="W306" s="1188"/>
      <c r="X306" s="1188"/>
      <c r="Y306" s="1181"/>
      <c r="Z306" s="1188"/>
      <c r="AA306" s="968">
        <f t="shared" si="194"/>
        <v>0</v>
      </c>
      <c r="AB306" s="968">
        <f t="shared" si="195"/>
        <v>0</v>
      </c>
      <c r="AC306" s="968">
        <f t="shared" si="196"/>
        <v>0</v>
      </c>
      <c r="AD306" s="968">
        <f t="shared" si="197"/>
        <v>10000</v>
      </c>
      <c r="AE306" s="968">
        <f t="shared" si="198"/>
        <v>10000</v>
      </c>
      <c r="AF306" s="1189"/>
      <c r="AG306" s="976"/>
      <c r="AH306" s="1759"/>
      <c r="AK306" s="1174"/>
      <c r="AL306" s="1174"/>
      <c r="AM306" s="832"/>
      <c r="AO306" s="1190" t="s">
        <v>978</v>
      </c>
      <c r="AP306" s="832"/>
      <c r="AQ306" s="1186" t="s">
        <v>1294</v>
      </c>
      <c r="AS306" s="832"/>
      <c r="AT306" s="832"/>
      <c r="AU306" s="834"/>
    </row>
    <row r="307" spans="1:47" s="1173" customFormat="1" ht="24" customHeight="1">
      <c r="A307" s="754" t="s">
        <v>617</v>
      </c>
      <c r="B307" s="755" t="s">
        <v>616</v>
      </c>
      <c r="C307" s="756"/>
      <c r="D307" s="756"/>
      <c r="E307" s="754"/>
      <c r="F307" s="754"/>
      <c r="G307" s="756"/>
      <c r="H307" s="1605"/>
      <c r="I307" s="1605"/>
      <c r="J307" s="1606"/>
      <c r="K307" s="1606"/>
      <c r="L307" s="755"/>
      <c r="M307" s="754"/>
      <c r="N307" s="1659"/>
      <c r="O307" s="1659"/>
      <c r="P307" s="1659"/>
      <c r="Q307" s="1659"/>
      <c r="R307" s="1659"/>
      <c r="S307" s="1659"/>
      <c r="T307" s="1191">
        <f>SUBTOTAL(109,T308:T329)</f>
        <v>563339</v>
      </c>
      <c r="U307" s="1191">
        <f>SUBTOTAL(109,U308:U310)</f>
        <v>17948</v>
      </c>
      <c r="V307" s="1191">
        <f t="shared" ref="V307:Y307" si="199">SUBTOTAL(109,V308:V310)</f>
        <v>10948</v>
      </c>
      <c r="W307" s="1191">
        <f t="shared" si="199"/>
        <v>10948</v>
      </c>
      <c r="X307" s="1191"/>
      <c r="Y307" s="1191">
        <f t="shared" si="199"/>
        <v>0</v>
      </c>
      <c r="Z307" s="1191">
        <f>SUBTOTAL(109,Z308:Z309)</f>
        <v>10948</v>
      </c>
      <c r="AA307" s="1191">
        <f t="shared" ref="AA307:AC307" si="200">SUBTOTAL(109,AA308:AA309)</f>
        <v>30387</v>
      </c>
      <c r="AB307" s="1191">
        <f t="shared" si="200"/>
        <v>19148</v>
      </c>
      <c r="AC307" s="1191">
        <f t="shared" si="200"/>
        <v>16787</v>
      </c>
      <c r="AD307" s="1191">
        <f>SUBTOTAL(109,AD308:AD309)</f>
        <v>23787</v>
      </c>
      <c r="AE307" s="1191">
        <f>SUBTOTAL(109,AE308:AE309)</f>
        <v>7000</v>
      </c>
      <c r="AF307" s="1191"/>
      <c r="AG307" s="776"/>
      <c r="AH307" s="1609"/>
      <c r="AK307" s="1174"/>
      <c r="AL307" s="1174"/>
      <c r="AM307" s="832"/>
    </row>
    <row r="308" spans="1:47" ht="51">
      <c r="A308" s="1192">
        <v>2</v>
      </c>
      <c r="B308" s="1193" t="s">
        <v>96</v>
      </c>
      <c r="C308" s="1193"/>
      <c r="D308" s="1194"/>
      <c r="E308" s="1195" t="s">
        <v>69</v>
      </c>
      <c r="F308" s="1196" t="s">
        <v>386</v>
      </c>
      <c r="G308" s="1197" t="s">
        <v>26</v>
      </c>
      <c r="H308" s="1198">
        <v>2015</v>
      </c>
      <c r="I308" s="1198"/>
      <c r="J308" s="1198">
        <v>2017</v>
      </c>
      <c r="K308" s="1198"/>
      <c r="L308" s="1198"/>
      <c r="M308" s="1199" t="s">
        <v>97</v>
      </c>
      <c r="N308" s="1200">
        <v>23728</v>
      </c>
      <c r="O308" s="1200">
        <v>0</v>
      </c>
      <c r="P308" s="1200">
        <v>8728</v>
      </c>
      <c r="Q308" s="1061">
        <f>8200+2823+3145+1314+2255</f>
        <v>17737</v>
      </c>
      <c r="R308" s="1061">
        <v>8200</v>
      </c>
      <c r="S308" s="1061">
        <f>2823+1314</f>
        <v>4137</v>
      </c>
      <c r="T308" s="1200">
        <v>7855</v>
      </c>
      <c r="U308" s="1200">
        <v>3718</v>
      </c>
      <c r="V308" s="776">
        <f>VLOOKUP($B308,QD!$B$9:$L$316,10,0)</f>
        <v>3718</v>
      </c>
      <c r="W308" s="776">
        <v>3718</v>
      </c>
      <c r="X308" s="776">
        <v>100</v>
      </c>
      <c r="Y308" s="1201"/>
      <c r="Z308" s="776">
        <f t="shared" si="181"/>
        <v>3718</v>
      </c>
      <c r="AA308" s="775">
        <f t="shared" ref="AA308" si="201">Q308+$Z308</f>
        <v>21455</v>
      </c>
      <c r="AB308" s="775">
        <f t="shared" ref="AB308" si="202">R308+$Z308</f>
        <v>11918</v>
      </c>
      <c r="AC308" s="775">
        <f t="shared" ref="AC308" si="203">S308+$Z308</f>
        <v>7855</v>
      </c>
      <c r="AD308" s="775">
        <f t="shared" ref="AD308" si="204">T308</f>
        <v>7855</v>
      </c>
      <c r="AE308" s="775">
        <f t="shared" ref="AE308" si="205">U308-Z308</f>
        <v>0</v>
      </c>
      <c r="AF308" s="1201"/>
      <c r="AG308" s="776"/>
      <c r="AH308" s="1202" t="s">
        <v>780</v>
      </c>
      <c r="AK308" s="747"/>
      <c r="AL308" s="747"/>
      <c r="AM308" s="746"/>
    </row>
    <row r="309" spans="1:47" ht="25.5">
      <c r="A309" s="1192">
        <v>3</v>
      </c>
      <c r="B309" s="1202" t="s">
        <v>646</v>
      </c>
      <c r="C309" s="1202"/>
      <c r="D309" s="1202"/>
      <c r="E309" s="1203" t="s">
        <v>38</v>
      </c>
      <c r="F309" s="1196" t="s">
        <v>386</v>
      </c>
      <c r="G309" s="1203" t="s">
        <v>355</v>
      </c>
      <c r="H309" s="1204" t="s">
        <v>342</v>
      </c>
      <c r="I309" s="1204"/>
      <c r="J309" s="1205" t="s">
        <v>342</v>
      </c>
      <c r="K309" s="1205"/>
      <c r="L309" s="1205"/>
      <c r="M309" s="1206"/>
      <c r="N309" s="1200">
        <v>17702</v>
      </c>
      <c r="O309" s="1200">
        <v>0</v>
      </c>
      <c r="P309" s="1200">
        <v>17702</v>
      </c>
      <c r="Q309" s="1200">
        <v>1702</v>
      </c>
      <c r="R309" s="1200">
        <v>0</v>
      </c>
      <c r="S309" s="1200">
        <v>1702</v>
      </c>
      <c r="T309" s="1200">
        <v>15932</v>
      </c>
      <c r="U309" s="1200">
        <v>14230</v>
      </c>
      <c r="V309" s="776">
        <f>VLOOKUP($B309,QD!$B$9:$L$316,10,0)</f>
        <v>7230</v>
      </c>
      <c r="W309" s="776">
        <v>7230</v>
      </c>
      <c r="X309" s="776">
        <v>50.808151791988756</v>
      </c>
      <c r="Y309" s="1201"/>
      <c r="Z309" s="776">
        <f t="shared" si="181"/>
        <v>7230</v>
      </c>
      <c r="AA309" s="775">
        <f t="shared" ref="AA309" si="206">Q309+$Z309</f>
        <v>8932</v>
      </c>
      <c r="AB309" s="775">
        <f t="shared" ref="AB309" si="207">R309+$Z309</f>
        <v>7230</v>
      </c>
      <c r="AC309" s="775">
        <f t="shared" ref="AC309" si="208">S309+$Z309</f>
        <v>8932</v>
      </c>
      <c r="AD309" s="775">
        <f t="shared" ref="AD309" si="209">T309</f>
        <v>15932</v>
      </c>
      <c r="AE309" s="775">
        <f t="shared" ref="AE309" si="210">U309-Z309</f>
        <v>7000</v>
      </c>
      <c r="AF309" s="1201"/>
      <c r="AG309" s="776"/>
      <c r="AH309" s="1660"/>
      <c r="AK309" s="747"/>
      <c r="AL309" s="747"/>
      <c r="AM309" s="746"/>
    </row>
    <row r="310" spans="1:47" s="1173" customFormat="1">
      <c r="A310" s="754" t="s">
        <v>572</v>
      </c>
      <c r="B310" s="755" t="s">
        <v>571</v>
      </c>
      <c r="C310" s="756"/>
      <c r="D310" s="756"/>
      <c r="E310" s="754"/>
      <c r="F310" s="754"/>
      <c r="G310" s="756"/>
      <c r="H310" s="1605"/>
      <c r="I310" s="1605"/>
      <c r="J310" s="1606"/>
      <c r="K310" s="1606"/>
      <c r="L310" s="755"/>
      <c r="M310" s="754"/>
      <c r="N310" s="1659">
        <f t="shared" ref="N310:AC310" si="211">SUBTOTAL(9,N311:N319)</f>
        <v>1346068</v>
      </c>
      <c r="O310" s="1659">
        <f t="shared" si="211"/>
        <v>721904</v>
      </c>
      <c r="P310" s="1659">
        <f t="shared" si="211"/>
        <v>496164</v>
      </c>
      <c r="Q310" s="1659">
        <f t="shared" si="211"/>
        <v>375858</v>
      </c>
      <c r="R310" s="1659">
        <f t="shared" si="211"/>
        <v>154000</v>
      </c>
      <c r="S310" s="1659">
        <f t="shared" si="211"/>
        <v>86510</v>
      </c>
      <c r="T310" s="1659">
        <f t="shared" si="211"/>
        <v>470153</v>
      </c>
      <c r="U310" s="1659">
        <f t="shared" si="211"/>
        <v>419553</v>
      </c>
      <c r="V310" s="1659">
        <f t="shared" si="211"/>
        <v>110000</v>
      </c>
      <c r="W310" s="1659">
        <f t="shared" si="211"/>
        <v>110000</v>
      </c>
      <c r="X310" s="1659">
        <f t="shared" si="211"/>
        <v>0</v>
      </c>
      <c r="Y310" s="1659">
        <f t="shared" si="211"/>
        <v>0</v>
      </c>
      <c r="Z310" s="1659">
        <f t="shared" si="211"/>
        <v>110000</v>
      </c>
      <c r="AA310" s="1659">
        <f t="shared" si="211"/>
        <v>485858</v>
      </c>
      <c r="AB310" s="1659">
        <f t="shared" si="211"/>
        <v>264000</v>
      </c>
      <c r="AC310" s="1659">
        <f t="shared" si="211"/>
        <v>196510</v>
      </c>
      <c r="AD310" s="1659">
        <f>SUBTOTAL(9,AD311:AD319)</f>
        <v>470153</v>
      </c>
      <c r="AE310" s="1659">
        <f>SUBTOTAL(9,AE311:AE319)</f>
        <v>309553</v>
      </c>
      <c r="AF310" s="1661"/>
      <c r="AG310" s="776"/>
      <c r="AH310" s="1609">
        <v>95000</v>
      </c>
      <c r="AI310" s="1628">
        <f>W310-AH310</f>
        <v>15000</v>
      </c>
      <c r="AK310" s="1174"/>
      <c r="AL310" s="1174"/>
      <c r="AM310" s="832"/>
    </row>
    <row r="311" spans="1:47" s="1514" customFormat="1" ht="51">
      <c r="A311" s="777">
        <v>1</v>
      </c>
      <c r="B311" s="1215" t="s">
        <v>88</v>
      </c>
      <c r="C311" s="1215"/>
      <c r="D311" s="1215"/>
      <c r="E311" s="1643" t="s">
        <v>39</v>
      </c>
      <c r="F311" s="1112" t="s">
        <v>386</v>
      </c>
      <c r="G311" s="159" t="s">
        <v>9</v>
      </c>
      <c r="H311" s="358">
        <v>2013</v>
      </c>
      <c r="I311" s="358">
        <v>2013</v>
      </c>
      <c r="J311" s="358">
        <v>2019</v>
      </c>
      <c r="K311" s="358">
        <v>2018</v>
      </c>
      <c r="L311" s="358"/>
      <c r="M311" s="171" t="s">
        <v>89</v>
      </c>
      <c r="N311" s="1115">
        <v>391940</v>
      </c>
      <c r="O311" s="1115">
        <v>265000</v>
      </c>
      <c r="P311" s="1115">
        <v>126940</v>
      </c>
      <c r="Q311" s="1662">
        <v>206858</v>
      </c>
      <c r="R311" s="1115">
        <v>0</v>
      </c>
      <c r="S311" s="1115">
        <v>71510</v>
      </c>
      <c r="T311" s="1115">
        <v>78336</v>
      </c>
      <c r="U311" s="1115">
        <v>42736</v>
      </c>
      <c r="V311" s="776">
        <f>VLOOKUP($B311,QD!$B$9:$L$316,10,0)</f>
        <v>20000</v>
      </c>
      <c r="W311" s="776">
        <v>20000</v>
      </c>
      <c r="X311" s="776">
        <v>0</v>
      </c>
      <c r="Y311" s="1116"/>
      <c r="Z311" s="776">
        <f t="shared" si="181"/>
        <v>20000</v>
      </c>
      <c r="AA311" s="775">
        <f t="shared" ref="AA311" si="212">Q311+$Z311</f>
        <v>226858</v>
      </c>
      <c r="AB311" s="775">
        <f t="shared" ref="AB311" si="213">R311+$Z311</f>
        <v>20000</v>
      </c>
      <c r="AC311" s="775">
        <f t="shared" ref="AC311" si="214">S311+$Z311</f>
        <v>91510</v>
      </c>
      <c r="AD311" s="775">
        <f t="shared" ref="AD311" si="215">T311</f>
        <v>78336</v>
      </c>
      <c r="AE311" s="775">
        <f t="shared" ref="AE311" si="216">U311-Z311</f>
        <v>22736</v>
      </c>
      <c r="AF311" s="1116"/>
      <c r="AG311" s="782"/>
      <c r="AH311" s="1663" t="s">
        <v>742</v>
      </c>
      <c r="AK311" s="1515"/>
      <c r="AL311" s="1515"/>
      <c r="AM311" s="1516"/>
    </row>
    <row r="312" spans="1:47" s="1514" customFormat="1" ht="25.5">
      <c r="A312" s="777">
        <v>2</v>
      </c>
      <c r="B312" s="1215" t="s">
        <v>86</v>
      </c>
      <c r="C312" s="1215"/>
      <c r="D312" s="1215"/>
      <c r="E312" s="1643" t="s">
        <v>39</v>
      </c>
      <c r="F312" s="1112" t="s">
        <v>386</v>
      </c>
      <c r="G312" s="159" t="s">
        <v>9</v>
      </c>
      <c r="H312" s="358">
        <v>2015</v>
      </c>
      <c r="I312" s="358">
        <v>2015</v>
      </c>
      <c r="J312" s="358">
        <v>2019</v>
      </c>
      <c r="K312" s="358" t="s">
        <v>399</v>
      </c>
      <c r="L312" s="358"/>
      <c r="M312" s="174" t="s">
        <v>87</v>
      </c>
      <c r="N312" s="1115">
        <v>220272</v>
      </c>
      <c r="O312" s="1115">
        <v>120000</v>
      </c>
      <c r="P312" s="1115">
        <v>100272</v>
      </c>
      <c r="Q312" s="1115">
        <v>70000</v>
      </c>
      <c r="R312" s="1115">
        <v>55000</v>
      </c>
      <c r="S312" s="1115">
        <v>15000</v>
      </c>
      <c r="T312" s="1115">
        <v>90245</v>
      </c>
      <c r="U312" s="1115">
        <v>75245</v>
      </c>
      <c r="V312" s="776">
        <f>VLOOKUP($B312,QD!$B$9:$L$316,10,0)</f>
        <v>20000</v>
      </c>
      <c r="W312" s="776">
        <v>20000</v>
      </c>
      <c r="X312" s="776">
        <v>0</v>
      </c>
      <c r="Y312" s="1116"/>
      <c r="Z312" s="776">
        <f t="shared" si="181"/>
        <v>20000</v>
      </c>
      <c r="AA312" s="775">
        <f t="shared" ref="AA312:AA319" si="217">Q312+$Z312</f>
        <v>90000</v>
      </c>
      <c r="AB312" s="775">
        <f t="shared" ref="AB312:AB319" si="218">R312+$Z312</f>
        <v>75000</v>
      </c>
      <c r="AC312" s="775">
        <f t="shared" ref="AC312:AC319" si="219">S312+$Z312</f>
        <v>35000</v>
      </c>
      <c r="AD312" s="775">
        <f t="shared" ref="AD312:AD319" si="220">T312</f>
        <v>90245</v>
      </c>
      <c r="AE312" s="775">
        <f t="shared" ref="AE312:AE319" si="221">U312-Z312</f>
        <v>55245</v>
      </c>
      <c r="AF312" s="1116"/>
      <c r="AG312" s="782"/>
      <c r="AH312" s="1663"/>
      <c r="AK312" s="1515"/>
      <c r="AL312" s="1515"/>
      <c r="AM312" s="1516"/>
    </row>
    <row r="313" spans="1:47" s="1514" customFormat="1" ht="38.25">
      <c r="A313" s="777">
        <v>3</v>
      </c>
      <c r="B313" s="1622" t="s">
        <v>90</v>
      </c>
      <c r="C313" s="1622"/>
      <c r="D313" s="1622"/>
      <c r="E313" s="1643" t="s">
        <v>39</v>
      </c>
      <c r="F313" s="1112" t="s">
        <v>386</v>
      </c>
      <c r="G313" s="1094" t="s">
        <v>17</v>
      </c>
      <c r="H313" s="358">
        <v>2015</v>
      </c>
      <c r="I313" s="358">
        <v>2015</v>
      </c>
      <c r="J313" s="358">
        <v>2019</v>
      </c>
      <c r="K313" s="358" t="s">
        <v>399</v>
      </c>
      <c r="L313" s="358"/>
      <c r="M313" s="185" t="s">
        <v>91</v>
      </c>
      <c r="N313" s="1115">
        <v>80874</v>
      </c>
      <c r="O313" s="1115">
        <v>50000</v>
      </c>
      <c r="P313" s="1115">
        <v>30874</v>
      </c>
      <c r="Q313" s="1115">
        <v>45000</v>
      </c>
      <c r="R313" s="1115">
        <v>45000</v>
      </c>
      <c r="S313" s="1115">
        <v>0</v>
      </c>
      <c r="T313" s="1115">
        <v>27787</v>
      </c>
      <c r="U313" s="1115">
        <v>27787</v>
      </c>
      <c r="V313" s="776">
        <f>VLOOKUP($B313,QD!$B$9:$L$316,10,0)</f>
        <v>15000</v>
      </c>
      <c r="W313" s="776">
        <v>15000</v>
      </c>
      <c r="X313" s="776">
        <v>0</v>
      </c>
      <c r="Y313" s="1116"/>
      <c r="Z313" s="776">
        <f t="shared" si="181"/>
        <v>15000</v>
      </c>
      <c r="AA313" s="775">
        <f t="shared" si="217"/>
        <v>60000</v>
      </c>
      <c r="AB313" s="775">
        <f t="shared" si="218"/>
        <v>60000</v>
      </c>
      <c r="AC313" s="775">
        <f t="shared" si="219"/>
        <v>15000</v>
      </c>
      <c r="AD313" s="775">
        <f t="shared" si="220"/>
        <v>27787</v>
      </c>
      <c r="AE313" s="775">
        <f t="shared" si="221"/>
        <v>12787</v>
      </c>
      <c r="AF313" s="1116"/>
      <c r="AG313" s="782"/>
      <c r="AH313" s="1663"/>
      <c r="AK313" s="1515"/>
      <c r="AL313" s="1515"/>
      <c r="AM313" s="1516"/>
    </row>
    <row r="314" spans="1:47" s="1514" customFormat="1" ht="38.25">
      <c r="A314" s="777">
        <v>4</v>
      </c>
      <c r="B314" s="1622" t="s">
        <v>92</v>
      </c>
      <c r="C314" s="1622"/>
      <c r="D314" s="1622"/>
      <c r="E314" s="1643" t="s">
        <v>39</v>
      </c>
      <c r="F314" s="1112" t="s">
        <v>386</v>
      </c>
      <c r="G314" s="1094" t="s">
        <v>17</v>
      </c>
      <c r="H314" s="358">
        <v>2015</v>
      </c>
      <c r="I314" s="358">
        <v>2015</v>
      </c>
      <c r="J314" s="358">
        <v>2019</v>
      </c>
      <c r="K314" s="358" t="s">
        <v>399</v>
      </c>
      <c r="L314" s="358"/>
      <c r="M314" s="185" t="s">
        <v>93</v>
      </c>
      <c r="N314" s="1115">
        <v>101278</v>
      </c>
      <c r="O314" s="1115">
        <v>60000</v>
      </c>
      <c r="P314" s="1115">
        <v>41278</v>
      </c>
      <c r="Q314" s="1115">
        <v>54000</v>
      </c>
      <c r="R314" s="1115">
        <v>54000</v>
      </c>
      <c r="S314" s="1115">
        <v>0</v>
      </c>
      <c r="T314" s="1115">
        <v>37150</v>
      </c>
      <c r="U314" s="1115">
        <v>37150</v>
      </c>
      <c r="V314" s="776">
        <f>VLOOKUP($B314,QD!$B$9:$L$316,10,0)</f>
        <v>15000</v>
      </c>
      <c r="W314" s="776">
        <v>15000</v>
      </c>
      <c r="X314" s="776">
        <v>0</v>
      </c>
      <c r="Y314" s="1116"/>
      <c r="Z314" s="776">
        <f t="shared" si="181"/>
        <v>15000</v>
      </c>
      <c r="AA314" s="775">
        <f t="shared" si="217"/>
        <v>69000</v>
      </c>
      <c r="AB314" s="775">
        <f t="shared" si="218"/>
        <v>69000</v>
      </c>
      <c r="AC314" s="775">
        <f t="shared" si="219"/>
        <v>15000</v>
      </c>
      <c r="AD314" s="775">
        <f t="shared" si="220"/>
        <v>37150</v>
      </c>
      <c r="AE314" s="775">
        <f t="shared" si="221"/>
        <v>22150</v>
      </c>
      <c r="AF314" s="1116"/>
      <c r="AG314" s="782"/>
      <c r="AH314" s="1663"/>
      <c r="AK314" s="1515"/>
      <c r="AL314" s="1515"/>
      <c r="AM314" s="1516"/>
    </row>
    <row r="315" spans="1:47" s="1514" customFormat="1" ht="25.5">
      <c r="A315" s="777">
        <v>5</v>
      </c>
      <c r="B315" s="1622" t="s">
        <v>555</v>
      </c>
      <c r="C315" s="1622"/>
      <c r="D315" s="1622"/>
      <c r="E315" s="1643" t="s">
        <v>39</v>
      </c>
      <c r="F315" s="780" t="s">
        <v>387</v>
      </c>
      <c r="G315" s="159" t="s">
        <v>9</v>
      </c>
      <c r="H315" s="358">
        <v>2016</v>
      </c>
      <c r="I315" s="358">
        <v>2016</v>
      </c>
      <c r="J315" s="358">
        <v>2018</v>
      </c>
      <c r="K315" s="358" t="s">
        <v>399</v>
      </c>
      <c r="L315" s="358"/>
      <c r="M315" s="174" t="s">
        <v>94</v>
      </c>
      <c r="N315" s="1115">
        <v>106904</v>
      </c>
      <c r="O315" s="1115">
        <v>91904</v>
      </c>
      <c r="P315" s="1115">
        <v>15000</v>
      </c>
      <c r="Q315" s="1115">
        <v>0</v>
      </c>
      <c r="R315" s="1115">
        <v>0</v>
      </c>
      <c r="S315" s="1115">
        <v>0</v>
      </c>
      <c r="T315" s="1115">
        <f>15000+28000</f>
        <v>43000</v>
      </c>
      <c r="U315" s="1115">
        <f>T315</f>
        <v>43000</v>
      </c>
      <c r="V315" s="776">
        <f>VLOOKUP($B315,QD!$B$9:$L$316,10,0)</f>
        <v>15000</v>
      </c>
      <c r="W315" s="776">
        <v>15000</v>
      </c>
      <c r="X315" s="776">
        <v>0</v>
      </c>
      <c r="Y315" s="1116"/>
      <c r="Z315" s="776">
        <f t="shared" si="181"/>
        <v>15000</v>
      </c>
      <c r="AA315" s="775">
        <f t="shared" si="217"/>
        <v>15000</v>
      </c>
      <c r="AB315" s="775">
        <f t="shared" si="218"/>
        <v>15000</v>
      </c>
      <c r="AC315" s="775">
        <f t="shared" si="219"/>
        <v>15000</v>
      </c>
      <c r="AD315" s="775">
        <f t="shared" si="220"/>
        <v>43000</v>
      </c>
      <c r="AE315" s="775">
        <f t="shared" si="221"/>
        <v>28000</v>
      </c>
      <c r="AF315" s="1116"/>
      <c r="AG315" s="782"/>
      <c r="AH315" s="1664"/>
      <c r="AK315" s="1515"/>
      <c r="AL315" s="1515"/>
      <c r="AM315" s="1516"/>
    </row>
    <row r="316" spans="1:47" s="1514" customFormat="1" ht="25.5">
      <c r="A316" s="777">
        <v>6</v>
      </c>
      <c r="B316" s="1622" t="s">
        <v>726</v>
      </c>
      <c r="C316" s="1622"/>
      <c r="D316" s="1622"/>
      <c r="E316" s="1643" t="s">
        <v>39</v>
      </c>
      <c r="F316" s="780" t="s">
        <v>387</v>
      </c>
      <c r="G316" s="159" t="s">
        <v>9</v>
      </c>
      <c r="H316" s="358">
        <v>2016</v>
      </c>
      <c r="I316" s="358">
        <v>2016</v>
      </c>
      <c r="J316" s="358">
        <v>2018</v>
      </c>
      <c r="K316" s="358" t="s">
        <v>399</v>
      </c>
      <c r="L316" s="358"/>
      <c r="M316" s="174" t="s">
        <v>95</v>
      </c>
      <c r="N316" s="1115">
        <v>150000</v>
      </c>
      <c r="O316" s="1115">
        <v>135000</v>
      </c>
      <c r="P316" s="1115">
        <v>15000</v>
      </c>
      <c r="Q316" s="1115">
        <v>0</v>
      </c>
      <c r="R316" s="1115">
        <v>0</v>
      </c>
      <c r="S316" s="1115">
        <v>0</v>
      </c>
      <c r="T316" s="1115">
        <f>15000+('Tien dat 2019'!N20+'Tien dat 2019'!N22+'Tien dat 2019'!N27-28000)</f>
        <v>43515</v>
      </c>
      <c r="U316" s="1115">
        <f>T316</f>
        <v>43515</v>
      </c>
      <c r="V316" s="776">
        <f>VLOOKUP($B316,QD!$B$9:$L$316,10,0)</f>
        <v>15000</v>
      </c>
      <c r="W316" s="776">
        <v>15000</v>
      </c>
      <c r="X316" s="776">
        <v>0</v>
      </c>
      <c r="Y316" s="1116"/>
      <c r="Z316" s="776">
        <f t="shared" si="181"/>
        <v>15000</v>
      </c>
      <c r="AA316" s="775">
        <f t="shared" si="217"/>
        <v>15000</v>
      </c>
      <c r="AB316" s="775">
        <f t="shared" si="218"/>
        <v>15000</v>
      </c>
      <c r="AC316" s="775">
        <f t="shared" si="219"/>
        <v>15000</v>
      </c>
      <c r="AD316" s="775">
        <f t="shared" si="220"/>
        <v>43515</v>
      </c>
      <c r="AE316" s="775">
        <f t="shared" si="221"/>
        <v>28515</v>
      </c>
      <c r="AF316" s="1116"/>
      <c r="AG316" s="782"/>
      <c r="AH316" s="1664"/>
      <c r="AK316" s="1515"/>
      <c r="AL316" s="1515"/>
      <c r="AM316" s="1516"/>
    </row>
    <row r="317" spans="1:47">
      <c r="A317" s="768">
        <v>7</v>
      </c>
      <c r="B317" s="1622" t="s">
        <v>774</v>
      </c>
      <c r="C317" s="1207"/>
      <c r="D317" s="1208"/>
      <c r="E317" s="1209"/>
      <c r="F317" s="1209"/>
      <c r="G317" s="772" t="s">
        <v>9</v>
      </c>
      <c r="H317" s="773">
        <v>2017</v>
      </c>
      <c r="I317" s="773">
        <v>2017</v>
      </c>
      <c r="J317" s="773">
        <v>2018</v>
      </c>
      <c r="K317" s="1210"/>
      <c r="L317" s="1210"/>
      <c r="M317" s="1211"/>
      <c r="N317" s="1576">
        <v>128000</v>
      </c>
      <c r="O317" s="1209"/>
      <c r="P317" s="1209"/>
      <c r="Q317" s="1209"/>
      <c r="R317" s="1209"/>
      <c r="S317" s="1209"/>
      <c r="T317" s="776"/>
      <c r="U317" s="776"/>
      <c r="V317" s="776">
        <f>VLOOKUP($B317,QD!$B$9:$L$316,10,0)</f>
        <v>10000</v>
      </c>
      <c r="W317" s="776">
        <v>10000</v>
      </c>
      <c r="X317" s="776">
        <v>0</v>
      </c>
      <c r="Y317" s="776">
        <f>-10000</f>
        <v>-10000</v>
      </c>
      <c r="Z317" s="776">
        <f t="shared" si="181"/>
        <v>0</v>
      </c>
      <c r="AA317" s="775">
        <f t="shared" si="217"/>
        <v>0</v>
      </c>
      <c r="AB317" s="775">
        <f t="shared" si="218"/>
        <v>0</v>
      </c>
      <c r="AC317" s="775">
        <f t="shared" si="219"/>
        <v>0</v>
      </c>
      <c r="AD317" s="775">
        <f t="shared" si="220"/>
        <v>0</v>
      </c>
      <c r="AE317" s="776">
        <f t="shared" si="221"/>
        <v>0</v>
      </c>
      <c r="AF317" s="1665"/>
      <c r="AG317" s="776"/>
      <c r="AH317" s="1209"/>
      <c r="AK317" s="747"/>
      <c r="AL317" s="747"/>
      <c r="AM317" s="746"/>
    </row>
    <row r="318" spans="1:47" ht="52.5" customHeight="1">
      <c r="A318" s="1666" t="s">
        <v>34</v>
      </c>
      <c r="B318" s="1622" t="s">
        <v>1248</v>
      </c>
      <c r="C318" s="1212"/>
      <c r="D318" s="1213"/>
      <c r="E318" s="1209"/>
      <c r="F318" s="1209"/>
      <c r="G318" s="772" t="s">
        <v>9</v>
      </c>
      <c r="H318" s="773">
        <v>2019</v>
      </c>
      <c r="I318" s="773"/>
      <c r="J318" s="773">
        <v>2020</v>
      </c>
      <c r="K318" s="1210"/>
      <c r="L318" s="1210"/>
      <c r="M318" s="174" t="s">
        <v>1250</v>
      </c>
      <c r="N318" s="1576">
        <v>78800</v>
      </c>
      <c r="O318" s="1576"/>
      <c r="P318" s="1576">
        <v>78800</v>
      </c>
      <c r="Q318" s="1209"/>
      <c r="R318" s="1209"/>
      <c r="S318" s="1209"/>
      <c r="T318" s="1576">
        <f>P318*0.9</f>
        <v>70920</v>
      </c>
      <c r="U318" s="1576">
        <f>T318</f>
        <v>70920</v>
      </c>
      <c r="V318" s="776"/>
      <c r="W318" s="776"/>
      <c r="X318" s="776"/>
      <c r="Y318" s="1576">
        <v>3000</v>
      </c>
      <c r="Z318" s="776">
        <f t="shared" si="181"/>
        <v>3000</v>
      </c>
      <c r="AA318" s="775">
        <f t="shared" si="217"/>
        <v>3000</v>
      </c>
      <c r="AB318" s="775">
        <f t="shared" si="218"/>
        <v>3000</v>
      </c>
      <c r="AC318" s="775">
        <f t="shared" si="219"/>
        <v>3000</v>
      </c>
      <c r="AD318" s="775">
        <f t="shared" si="220"/>
        <v>70920</v>
      </c>
      <c r="AE318" s="775">
        <f t="shared" si="221"/>
        <v>67920</v>
      </c>
      <c r="AF318" s="1665"/>
      <c r="AG318" s="776"/>
      <c r="AH318" s="1752" t="s">
        <v>1638</v>
      </c>
      <c r="AK318" s="747"/>
      <c r="AL318" s="747"/>
      <c r="AM318" s="746"/>
    </row>
    <row r="319" spans="1:47" ht="60" customHeight="1">
      <c r="A319" s="1666" t="s">
        <v>34</v>
      </c>
      <c r="B319" s="1622" t="s">
        <v>1249</v>
      </c>
      <c r="C319" s="1212"/>
      <c r="D319" s="1213"/>
      <c r="E319" s="1209"/>
      <c r="F319" s="1209"/>
      <c r="G319" s="772" t="s">
        <v>9</v>
      </c>
      <c r="H319" s="773">
        <v>2019</v>
      </c>
      <c r="I319" s="773"/>
      <c r="J319" s="773">
        <v>2020</v>
      </c>
      <c r="K319" s="1210"/>
      <c r="L319" s="1210"/>
      <c r="M319" s="174" t="s">
        <v>1251</v>
      </c>
      <c r="N319" s="1576">
        <v>88000</v>
      </c>
      <c r="O319" s="1576"/>
      <c r="P319" s="1576">
        <v>88000</v>
      </c>
      <c r="Q319" s="1209"/>
      <c r="R319" s="1209"/>
      <c r="S319" s="1209"/>
      <c r="T319" s="1576">
        <f>P319*0.9</f>
        <v>79200</v>
      </c>
      <c r="U319" s="1576">
        <f>T319</f>
        <v>79200</v>
      </c>
      <c r="V319" s="776"/>
      <c r="W319" s="1665"/>
      <c r="X319" s="776"/>
      <c r="Y319" s="1576">
        <v>7000</v>
      </c>
      <c r="Z319" s="776">
        <f t="shared" si="181"/>
        <v>7000</v>
      </c>
      <c r="AA319" s="775">
        <f t="shared" si="217"/>
        <v>7000</v>
      </c>
      <c r="AB319" s="775">
        <f t="shared" si="218"/>
        <v>7000</v>
      </c>
      <c r="AC319" s="775">
        <f t="shared" si="219"/>
        <v>7000</v>
      </c>
      <c r="AD319" s="775">
        <f t="shared" si="220"/>
        <v>79200</v>
      </c>
      <c r="AE319" s="775">
        <f t="shared" si="221"/>
        <v>72200</v>
      </c>
      <c r="AF319" s="1665"/>
      <c r="AG319" s="776"/>
      <c r="AH319" s="1753"/>
      <c r="AK319" s="747"/>
      <c r="AL319" s="747"/>
      <c r="AM319" s="746"/>
    </row>
    <row r="320" spans="1:47" s="1173" customFormat="1">
      <c r="A320" s="754" t="s">
        <v>574</v>
      </c>
      <c r="B320" s="755" t="s">
        <v>573</v>
      </c>
      <c r="C320" s="1127"/>
      <c r="D320" s="1127"/>
      <c r="E320" s="1119"/>
      <c r="F320" s="1119"/>
      <c r="G320" s="1119"/>
      <c r="H320" s="1119"/>
      <c r="I320" s="1119"/>
      <c r="J320" s="1119"/>
      <c r="K320" s="1119"/>
      <c r="L320" s="1119"/>
      <c r="M320" s="1119"/>
      <c r="N320" s="1214">
        <f t="shared" ref="N320:AC320" si="222">SUBTOTAL(109,N321:N371)</f>
        <v>772536</v>
      </c>
      <c r="O320" s="1214">
        <f t="shared" si="222"/>
        <v>0</v>
      </c>
      <c r="P320" s="1214">
        <f t="shared" si="222"/>
        <v>469901.7</v>
      </c>
      <c r="Q320" s="1214">
        <f t="shared" si="222"/>
        <v>384223</v>
      </c>
      <c r="R320" s="1214">
        <f t="shared" si="222"/>
        <v>0</v>
      </c>
      <c r="S320" s="1214">
        <f t="shared" si="222"/>
        <v>287779</v>
      </c>
      <c r="T320" s="1214">
        <f t="shared" si="222"/>
        <v>312028</v>
      </c>
      <c r="U320" s="1214">
        <f t="shared" si="222"/>
        <v>173738</v>
      </c>
      <c r="V320" s="1214">
        <f t="shared" si="222"/>
        <v>124043</v>
      </c>
      <c r="W320" s="1214">
        <f t="shared" si="222"/>
        <v>122656.5</v>
      </c>
      <c r="X320" s="1214"/>
      <c r="Y320" s="1214">
        <f t="shared" si="222"/>
        <v>16323</v>
      </c>
      <c r="Z320" s="1214">
        <f t="shared" si="222"/>
        <v>140366</v>
      </c>
      <c r="AA320" s="1214">
        <f t="shared" si="222"/>
        <v>524589</v>
      </c>
      <c r="AB320" s="1214">
        <f t="shared" si="222"/>
        <v>140366</v>
      </c>
      <c r="AC320" s="1214">
        <f t="shared" si="222"/>
        <v>428145</v>
      </c>
      <c r="AD320" s="1214">
        <f>SUBTOTAL(109,AD321:AD375)</f>
        <v>337331</v>
      </c>
      <c r="AE320" s="1214">
        <f>SUBTOTAL(109,AE321:AE375)</f>
        <v>44375</v>
      </c>
      <c r="AF320" s="1214"/>
      <c r="AG320" s="776"/>
      <c r="AH320" s="1667">
        <v>82723</v>
      </c>
      <c r="AI320" s="1628">
        <f>W320-AH320</f>
        <v>39933.5</v>
      </c>
      <c r="AK320" s="1174"/>
      <c r="AL320" s="1174"/>
      <c r="AM320" s="832"/>
    </row>
    <row r="321" spans="1:39" ht="25.5">
      <c r="A321" s="777">
        <v>1</v>
      </c>
      <c r="B321" s="1215" t="s">
        <v>111</v>
      </c>
      <c r="C321" s="1215"/>
      <c r="D321" s="1215"/>
      <c r="E321" s="159" t="s">
        <v>38</v>
      </c>
      <c r="F321" s="1112" t="s">
        <v>386</v>
      </c>
      <c r="G321" s="159" t="s">
        <v>9</v>
      </c>
      <c r="H321" s="358">
        <v>2010</v>
      </c>
      <c r="I321" s="358"/>
      <c r="J321" s="1216">
        <v>2014</v>
      </c>
      <c r="K321" s="358"/>
      <c r="L321" s="358"/>
      <c r="M321" s="185" t="s">
        <v>112</v>
      </c>
      <c r="N321" s="1115">
        <v>22381</v>
      </c>
      <c r="O321" s="1115">
        <v>0</v>
      </c>
      <c r="P321" s="1115">
        <v>22381</v>
      </c>
      <c r="Q321" s="1115">
        <v>14000</v>
      </c>
      <c r="R321" s="1115">
        <v>0</v>
      </c>
      <c r="S321" s="1115">
        <v>14000</v>
      </c>
      <c r="T321" s="1115">
        <v>8701</v>
      </c>
      <c r="U321" s="1115">
        <v>4701</v>
      </c>
      <c r="V321" s="776">
        <f>VLOOKUP($B321,QD!$B$9:$L$316,10,0)</f>
        <v>4701</v>
      </c>
      <c r="W321" s="776">
        <v>4701</v>
      </c>
      <c r="X321" s="776">
        <v>100</v>
      </c>
      <c r="Y321" s="1116"/>
      <c r="Z321" s="776">
        <f t="shared" si="181"/>
        <v>4701</v>
      </c>
      <c r="AA321" s="775">
        <f t="shared" ref="AA321" si="223">Q321+$Z321</f>
        <v>18701</v>
      </c>
      <c r="AB321" s="775">
        <f t="shared" ref="AB321" si="224">R321+$Z321</f>
        <v>4701</v>
      </c>
      <c r="AC321" s="775">
        <f t="shared" ref="AC321" si="225">S321+$Z321</f>
        <v>18701</v>
      </c>
      <c r="AD321" s="775">
        <f t="shared" ref="AD321" si="226">T321</f>
        <v>8701</v>
      </c>
      <c r="AE321" s="775">
        <f t="shared" ref="AE321" si="227">U321-Z321</f>
        <v>0</v>
      </c>
      <c r="AF321" s="1116"/>
      <c r="AG321" s="776"/>
      <c r="AH321" s="1668" t="s">
        <v>697</v>
      </c>
      <c r="AI321" s="745">
        <f>W321/U321</f>
        <v>1</v>
      </c>
      <c r="AK321" s="747"/>
      <c r="AL321" s="747"/>
      <c r="AM321" s="746"/>
    </row>
    <row r="322" spans="1:39" ht="38.25">
      <c r="A322" s="777">
        <v>2</v>
      </c>
      <c r="B322" s="1092" t="s">
        <v>486</v>
      </c>
      <c r="C322" s="1092"/>
      <c r="D322" s="1093"/>
      <c r="E322" s="159" t="s">
        <v>39</v>
      </c>
      <c r="F322" s="1112" t="s">
        <v>386</v>
      </c>
      <c r="G322" s="1094" t="s">
        <v>44</v>
      </c>
      <c r="H322" s="358">
        <v>2012</v>
      </c>
      <c r="I322" s="358"/>
      <c r="J322" s="1216">
        <v>2014</v>
      </c>
      <c r="K322" s="358"/>
      <c r="L322" s="358"/>
      <c r="M322" s="159" t="s">
        <v>487</v>
      </c>
      <c r="N322" s="1115">
        <v>3109</v>
      </c>
      <c r="O322" s="1115">
        <v>0</v>
      </c>
      <c r="P322" s="1115">
        <v>3109</v>
      </c>
      <c r="Q322" s="1115">
        <v>2722</v>
      </c>
      <c r="R322" s="1115">
        <v>0</v>
      </c>
      <c r="S322" s="1115">
        <v>2722</v>
      </c>
      <c r="T322" s="1115">
        <v>887</v>
      </c>
      <c r="U322" s="1115">
        <v>387</v>
      </c>
      <c r="V322" s="776">
        <f>VLOOKUP($B322,QD!$B$9:$L$316,10,0)</f>
        <v>387</v>
      </c>
      <c r="W322" s="776">
        <v>387</v>
      </c>
      <c r="X322" s="776">
        <v>100</v>
      </c>
      <c r="Y322" s="1116"/>
      <c r="Z322" s="776">
        <f t="shared" si="181"/>
        <v>387</v>
      </c>
      <c r="AA322" s="775">
        <f t="shared" ref="AA322:AA371" si="228">Q322+$Z322</f>
        <v>3109</v>
      </c>
      <c r="AB322" s="775">
        <f t="shared" ref="AB322:AB371" si="229">R322+$Z322</f>
        <v>387</v>
      </c>
      <c r="AC322" s="775">
        <f t="shared" ref="AC322:AC371" si="230">S322+$Z322</f>
        <v>3109</v>
      </c>
      <c r="AD322" s="775">
        <f t="shared" ref="AD322:AD371" si="231">T322</f>
        <v>887</v>
      </c>
      <c r="AE322" s="775">
        <f t="shared" ref="AE322:AE371" si="232">U322-Z322</f>
        <v>0</v>
      </c>
      <c r="AF322" s="1116"/>
      <c r="AG322" s="776"/>
      <c r="AH322" s="1669">
        <f>W322/U322</f>
        <v>1</v>
      </c>
      <c r="AI322" s="745">
        <f t="shared" ref="AI322:AI370" si="233">W322/U322</f>
        <v>1</v>
      </c>
      <c r="AK322" s="747"/>
      <c r="AL322" s="747"/>
      <c r="AM322" s="746"/>
    </row>
    <row r="323" spans="1:39" ht="25.5">
      <c r="A323" s="777">
        <v>3</v>
      </c>
      <c r="B323" s="933" t="s">
        <v>478</v>
      </c>
      <c r="C323" s="933"/>
      <c r="D323" s="1217"/>
      <c r="E323" s="159" t="s">
        <v>37</v>
      </c>
      <c r="F323" s="1112" t="s">
        <v>386</v>
      </c>
      <c r="G323" s="203" t="s">
        <v>9</v>
      </c>
      <c r="H323" s="358">
        <v>2013</v>
      </c>
      <c r="I323" s="358"/>
      <c r="J323" s="1216">
        <v>2015</v>
      </c>
      <c r="K323" s="358"/>
      <c r="L323" s="358"/>
      <c r="M323" s="385" t="s">
        <v>480</v>
      </c>
      <c r="N323" s="1115">
        <v>4902</v>
      </c>
      <c r="O323" s="1115">
        <v>0</v>
      </c>
      <c r="P323" s="1115">
        <v>3432</v>
      </c>
      <c r="Q323" s="1115">
        <v>2500</v>
      </c>
      <c r="R323" s="1115">
        <v>0</v>
      </c>
      <c r="S323" s="1115">
        <v>2500</v>
      </c>
      <c r="T323" s="1115">
        <v>1389</v>
      </c>
      <c r="U323" s="1115">
        <v>589</v>
      </c>
      <c r="V323" s="776">
        <f>VLOOKUP($B323,QD!$B$9:$L$316,10,0)</f>
        <v>589</v>
      </c>
      <c r="W323" s="776">
        <v>589</v>
      </c>
      <c r="X323" s="776">
        <v>100</v>
      </c>
      <c r="Y323" s="1116"/>
      <c r="Z323" s="776">
        <f t="shared" si="181"/>
        <v>589</v>
      </c>
      <c r="AA323" s="775">
        <f t="shared" si="228"/>
        <v>3089</v>
      </c>
      <c r="AB323" s="775">
        <f t="shared" si="229"/>
        <v>589</v>
      </c>
      <c r="AC323" s="775">
        <f t="shared" si="230"/>
        <v>3089</v>
      </c>
      <c r="AD323" s="775">
        <f t="shared" si="231"/>
        <v>1389</v>
      </c>
      <c r="AE323" s="775">
        <f t="shared" si="232"/>
        <v>0</v>
      </c>
      <c r="AF323" s="1116"/>
      <c r="AG323" s="776"/>
      <c r="AH323" s="1668"/>
      <c r="AI323" s="745">
        <f t="shared" si="233"/>
        <v>1</v>
      </c>
      <c r="AK323" s="747"/>
      <c r="AL323" s="747"/>
      <c r="AM323" s="746"/>
    </row>
    <row r="324" spans="1:39" s="1514" customFormat="1" ht="38.25">
      <c r="A324" s="777">
        <v>4</v>
      </c>
      <c r="B324" s="1215" t="s">
        <v>147</v>
      </c>
      <c r="C324" s="1215"/>
      <c r="D324" s="1218"/>
      <c r="E324" s="159" t="s">
        <v>37</v>
      </c>
      <c r="F324" s="1112" t="s">
        <v>386</v>
      </c>
      <c r="G324" s="185" t="s">
        <v>10</v>
      </c>
      <c r="H324" s="358">
        <v>2013</v>
      </c>
      <c r="I324" s="358">
        <v>2014</v>
      </c>
      <c r="J324" s="1216">
        <v>2015</v>
      </c>
      <c r="K324" s="358">
        <v>2015</v>
      </c>
      <c r="L324" s="358"/>
      <c r="M324" s="185" t="s">
        <v>148</v>
      </c>
      <c r="N324" s="1115">
        <v>16648</v>
      </c>
      <c r="O324" s="1115">
        <v>0</v>
      </c>
      <c r="P324" s="1115">
        <v>0</v>
      </c>
      <c r="Q324" s="1115">
        <v>10050</v>
      </c>
      <c r="R324" s="1115">
        <v>0</v>
      </c>
      <c r="S324" s="1115">
        <v>2000</v>
      </c>
      <c r="T324" s="1115">
        <v>6933</v>
      </c>
      <c r="U324" s="1115">
        <v>4933</v>
      </c>
      <c r="V324" s="776">
        <f>VLOOKUP($B324,QD!$B$9:$L$316,10,0)</f>
        <v>4933</v>
      </c>
      <c r="W324" s="776">
        <v>4933</v>
      </c>
      <c r="X324" s="776">
        <v>100</v>
      </c>
      <c r="Y324" s="1116"/>
      <c r="Z324" s="776">
        <f t="shared" si="181"/>
        <v>4933</v>
      </c>
      <c r="AA324" s="775">
        <f t="shared" si="228"/>
        <v>14983</v>
      </c>
      <c r="AB324" s="775">
        <f t="shared" si="229"/>
        <v>4933</v>
      </c>
      <c r="AC324" s="775">
        <f t="shared" si="230"/>
        <v>6933</v>
      </c>
      <c r="AD324" s="775">
        <f t="shared" si="231"/>
        <v>6933</v>
      </c>
      <c r="AE324" s="775">
        <f t="shared" si="232"/>
        <v>0</v>
      </c>
      <c r="AF324" s="1116"/>
      <c r="AG324" s="782"/>
      <c r="AH324" s="1669">
        <f>W324/U324</f>
        <v>1</v>
      </c>
      <c r="AI324" s="1514">
        <f t="shared" si="233"/>
        <v>1</v>
      </c>
      <c r="AK324" s="1515"/>
      <c r="AL324" s="1515"/>
      <c r="AM324" s="1516"/>
    </row>
    <row r="325" spans="1:39" ht="25.5">
      <c r="A325" s="777">
        <v>5</v>
      </c>
      <c r="B325" s="1092" t="s">
        <v>107</v>
      </c>
      <c r="C325" s="1092"/>
      <c r="D325" s="1093"/>
      <c r="E325" s="159" t="s">
        <v>41</v>
      </c>
      <c r="F325" s="1112" t="s">
        <v>386</v>
      </c>
      <c r="G325" s="1219" t="s">
        <v>49</v>
      </c>
      <c r="H325" s="358">
        <v>2014</v>
      </c>
      <c r="I325" s="358">
        <v>2014</v>
      </c>
      <c r="J325" s="1216">
        <v>2016</v>
      </c>
      <c r="K325" s="358" t="s">
        <v>399</v>
      </c>
      <c r="L325" s="358"/>
      <c r="M325" s="392" t="s">
        <v>108</v>
      </c>
      <c r="N325" s="1115">
        <v>32732</v>
      </c>
      <c r="O325" s="1115">
        <v>0</v>
      </c>
      <c r="P325" s="1115">
        <v>27732</v>
      </c>
      <c r="Q325" s="1115">
        <v>21550</v>
      </c>
      <c r="R325" s="1115">
        <v>0</v>
      </c>
      <c r="S325" s="1115">
        <v>15000</v>
      </c>
      <c r="T325" s="1115">
        <v>10924</v>
      </c>
      <c r="U325" s="1115">
        <v>2924</v>
      </c>
      <c r="V325" s="776">
        <f>VLOOKUP($B325,QD!$B$9:$L$316,10,0)</f>
        <v>2924</v>
      </c>
      <c r="W325" s="776">
        <v>2924</v>
      </c>
      <c r="X325" s="776">
        <v>100</v>
      </c>
      <c r="Y325" s="1116">
        <v>1000</v>
      </c>
      <c r="Z325" s="776">
        <f t="shared" si="181"/>
        <v>3924</v>
      </c>
      <c r="AA325" s="775">
        <f t="shared" si="228"/>
        <v>25474</v>
      </c>
      <c r="AB325" s="775">
        <f t="shared" si="229"/>
        <v>3924</v>
      </c>
      <c r="AC325" s="775">
        <f t="shared" si="230"/>
        <v>18924</v>
      </c>
      <c r="AD325" s="775">
        <f t="shared" si="231"/>
        <v>10924</v>
      </c>
      <c r="AE325" s="775">
        <f t="shared" si="232"/>
        <v>-1000</v>
      </c>
      <c r="AF325" s="1116"/>
      <c r="AG325" s="776"/>
      <c r="AH325" s="1668" t="s">
        <v>558</v>
      </c>
      <c r="AI325" s="745">
        <f t="shared" si="233"/>
        <v>1</v>
      </c>
      <c r="AK325" s="747"/>
      <c r="AL325" s="747"/>
      <c r="AM325" s="746"/>
    </row>
    <row r="326" spans="1:39" s="1173" customFormat="1" ht="49.5" customHeight="1">
      <c r="A326" s="1117">
        <v>6</v>
      </c>
      <c r="B326" s="1220" t="s">
        <v>101</v>
      </c>
      <c r="C326" s="1220"/>
      <c r="D326" s="1220"/>
      <c r="E326" s="1221" t="s">
        <v>39</v>
      </c>
      <c r="F326" s="1120" t="s">
        <v>386</v>
      </c>
      <c r="G326" s="1119" t="s">
        <v>9</v>
      </c>
      <c r="H326" s="1122">
        <v>2014</v>
      </c>
      <c r="I326" s="1122">
        <v>2014</v>
      </c>
      <c r="J326" s="1222">
        <v>2016</v>
      </c>
      <c r="K326" s="1122" t="s">
        <v>399</v>
      </c>
      <c r="L326" s="1122"/>
      <c r="M326" s="1223" t="s">
        <v>102</v>
      </c>
      <c r="N326" s="1125">
        <v>26135</v>
      </c>
      <c r="O326" s="1125">
        <v>0</v>
      </c>
      <c r="P326" s="1125">
        <v>16135</v>
      </c>
      <c r="Q326" s="1125">
        <v>23800</v>
      </c>
      <c r="R326" s="1125">
        <v>0</v>
      </c>
      <c r="S326" s="1125">
        <v>13800</v>
      </c>
      <c r="T326" s="1125">
        <v>12521</v>
      </c>
      <c r="U326" s="1125">
        <v>721</v>
      </c>
      <c r="V326" s="776">
        <f>VLOOKUP($B326,QD!$B$9:$L$316,10,0)</f>
        <v>721</v>
      </c>
      <c r="W326" s="776">
        <v>721</v>
      </c>
      <c r="X326" s="776">
        <v>100</v>
      </c>
      <c r="Y326" s="1126"/>
      <c r="Z326" s="776">
        <f t="shared" si="181"/>
        <v>721</v>
      </c>
      <c r="AA326" s="775">
        <f t="shared" si="228"/>
        <v>24521</v>
      </c>
      <c r="AB326" s="775">
        <f t="shared" si="229"/>
        <v>721</v>
      </c>
      <c r="AC326" s="775">
        <f t="shared" si="230"/>
        <v>14521</v>
      </c>
      <c r="AD326" s="775">
        <f t="shared" si="231"/>
        <v>12521</v>
      </c>
      <c r="AE326" s="775">
        <f t="shared" si="232"/>
        <v>0</v>
      </c>
      <c r="AF326" s="1126"/>
      <c r="AG326" s="821"/>
      <c r="AH326" s="1670" t="s">
        <v>738</v>
      </c>
      <c r="AI326" s="1173">
        <f t="shared" si="233"/>
        <v>1</v>
      </c>
      <c r="AK326" s="1174"/>
      <c r="AL326" s="1174"/>
      <c r="AM326" s="832"/>
    </row>
    <row r="327" spans="1:39" ht="51">
      <c r="A327" s="777">
        <v>7</v>
      </c>
      <c r="B327" s="1215" t="s">
        <v>143</v>
      </c>
      <c r="C327" s="1215"/>
      <c r="D327" s="1215"/>
      <c r="E327" s="1224" t="s">
        <v>39</v>
      </c>
      <c r="F327" s="1112" t="s">
        <v>386</v>
      </c>
      <c r="G327" s="159" t="s">
        <v>9</v>
      </c>
      <c r="H327" s="358">
        <v>2014</v>
      </c>
      <c r="I327" s="358">
        <v>2014</v>
      </c>
      <c r="J327" s="1216">
        <v>2016</v>
      </c>
      <c r="K327" s="358" t="s">
        <v>399</v>
      </c>
      <c r="L327" s="358"/>
      <c r="M327" s="390" t="s">
        <v>144</v>
      </c>
      <c r="N327" s="1115">
        <v>15239</v>
      </c>
      <c r="O327" s="1115">
        <v>0</v>
      </c>
      <c r="P327" s="1115">
        <v>15239</v>
      </c>
      <c r="Q327" s="1115">
        <v>11500</v>
      </c>
      <c r="R327" s="1115">
        <v>0</v>
      </c>
      <c r="S327" s="1115">
        <v>11500</v>
      </c>
      <c r="T327" s="1115">
        <v>3215</v>
      </c>
      <c r="U327" s="1115">
        <v>2215</v>
      </c>
      <c r="V327" s="776">
        <f>VLOOKUP($B327,QD!$B$9:$L$316,10,0)</f>
        <v>2215</v>
      </c>
      <c r="W327" s="776">
        <v>2215</v>
      </c>
      <c r="X327" s="776">
        <v>100</v>
      </c>
      <c r="Y327" s="1116"/>
      <c r="Z327" s="776">
        <f t="shared" si="181"/>
        <v>2215</v>
      </c>
      <c r="AA327" s="775">
        <f t="shared" si="228"/>
        <v>13715</v>
      </c>
      <c r="AB327" s="775">
        <f t="shared" si="229"/>
        <v>2215</v>
      </c>
      <c r="AC327" s="775">
        <f t="shared" si="230"/>
        <v>13715</v>
      </c>
      <c r="AD327" s="775">
        <f t="shared" si="231"/>
        <v>3215</v>
      </c>
      <c r="AE327" s="775">
        <f t="shared" si="232"/>
        <v>0</v>
      </c>
      <c r="AF327" s="1116"/>
      <c r="AG327" s="776"/>
      <c r="AH327" s="1669"/>
      <c r="AI327" s="745">
        <f t="shared" si="233"/>
        <v>1</v>
      </c>
      <c r="AK327" s="747"/>
      <c r="AL327" s="747"/>
      <c r="AM327" s="746"/>
    </row>
    <row r="328" spans="1:39" ht="25.5">
      <c r="A328" s="777">
        <v>8</v>
      </c>
      <c r="B328" s="1225" t="s">
        <v>103</v>
      </c>
      <c r="C328" s="1225"/>
      <c r="D328" s="1226"/>
      <c r="E328" s="159" t="s">
        <v>37</v>
      </c>
      <c r="F328" s="1112" t="s">
        <v>386</v>
      </c>
      <c r="G328" s="159" t="s">
        <v>33</v>
      </c>
      <c r="H328" s="358">
        <v>2014</v>
      </c>
      <c r="I328" s="358">
        <v>2013</v>
      </c>
      <c r="J328" s="1216">
        <v>2017</v>
      </c>
      <c r="K328" s="358">
        <v>2016</v>
      </c>
      <c r="L328" s="358"/>
      <c r="M328" s="400" t="s">
        <v>104</v>
      </c>
      <c r="N328" s="1115">
        <v>29392</v>
      </c>
      <c r="O328" s="1115">
        <v>0</v>
      </c>
      <c r="P328" s="1115">
        <v>29392</v>
      </c>
      <c r="Q328" s="1115">
        <v>21336</v>
      </c>
      <c r="R328" s="1115">
        <v>0</v>
      </c>
      <c r="S328" s="1115">
        <v>21336</v>
      </c>
      <c r="T328" s="1115">
        <v>10989</v>
      </c>
      <c r="U328" s="1115">
        <v>5117</v>
      </c>
      <c r="V328" s="776">
        <f>VLOOKUP($B328,QD!$B$9:$L$316,10,0)</f>
        <v>5117</v>
      </c>
      <c r="W328" s="776">
        <v>5117</v>
      </c>
      <c r="X328" s="776">
        <v>100</v>
      </c>
      <c r="Y328" s="1116"/>
      <c r="Z328" s="776">
        <f t="shared" si="181"/>
        <v>5117</v>
      </c>
      <c r="AA328" s="775">
        <f t="shared" si="228"/>
        <v>26453</v>
      </c>
      <c r="AB328" s="775">
        <f t="shared" si="229"/>
        <v>5117</v>
      </c>
      <c r="AC328" s="775">
        <f t="shared" si="230"/>
        <v>26453</v>
      </c>
      <c r="AD328" s="775">
        <f t="shared" si="231"/>
        <v>10989</v>
      </c>
      <c r="AE328" s="775">
        <f t="shared" si="232"/>
        <v>0</v>
      </c>
      <c r="AF328" s="1116"/>
      <c r="AG328" s="776"/>
      <c r="AH328" s="1668"/>
      <c r="AI328" s="745">
        <f t="shared" si="233"/>
        <v>1</v>
      </c>
      <c r="AK328" s="747"/>
      <c r="AL328" s="747"/>
      <c r="AM328" s="746"/>
    </row>
    <row r="329" spans="1:39" ht="25.5">
      <c r="A329" s="777">
        <v>9</v>
      </c>
      <c r="B329" s="1111" t="s">
        <v>99</v>
      </c>
      <c r="C329" s="1111"/>
      <c r="D329" s="1227"/>
      <c r="E329" s="159" t="s">
        <v>37</v>
      </c>
      <c r="F329" s="1112" t="s">
        <v>386</v>
      </c>
      <c r="G329" s="389" t="s">
        <v>49</v>
      </c>
      <c r="H329" s="358">
        <v>2015</v>
      </c>
      <c r="I329" s="358">
        <v>2015</v>
      </c>
      <c r="J329" s="1216">
        <v>2017</v>
      </c>
      <c r="K329" s="358" t="s">
        <v>399</v>
      </c>
      <c r="L329" s="358"/>
      <c r="M329" s="389" t="s">
        <v>100</v>
      </c>
      <c r="N329" s="1115">
        <v>23156</v>
      </c>
      <c r="O329" s="1115">
        <v>0</v>
      </c>
      <c r="P329" s="1115">
        <v>23156</v>
      </c>
      <c r="Q329" s="1115">
        <v>13756</v>
      </c>
      <c r="R329" s="1115">
        <v>0</v>
      </c>
      <c r="S329" s="1115">
        <v>13756</v>
      </c>
      <c r="T329" s="1115">
        <v>13840</v>
      </c>
      <c r="U329" s="1115">
        <v>7084</v>
      </c>
      <c r="V329" s="776">
        <f>VLOOKUP($B329,QD!$B$9:$L$316,10,0)</f>
        <v>7084</v>
      </c>
      <c r="W329" s="776">
        <v>7084</v>
      </c>
      <c r="X329" s="776">
        <v>100</v>
      </c>
      <c r="Y329" s="1116"/>
      <c r="Z329" s="776">
        <f t="shared" si="181"/>
        <v>7084</v>
      </c>
      <c r="AA329" s="775">
        <f t="shared" si="228"/>
        <v>20840</v>
      </c>
      <c r="AB329" s="775">
        <f t="shared" si="229"/>
        <v>7084</v>
      </c>
      <c r="AC329" s="775">
        <f t="shared" si="230"/>
        <v>20840</v>
      </c>
      <c r="AD329" s="775">
        <f t="shared" si="231"/>
        <v>13840</v>
      </c>
      <c r="AE329" s="775">
        <f t="shared" si="232"/>
        <v>0</v>
      </c>
      <c r="AF329" s="1116"/>
      <c r="AG329" s="776"/>
      <c r="AH329" s="1668"/>
      <c r="AI329" s="745">
        <f t="shared" si="233"/>
        <v>1</v>
      </c>
      <c r="AK329" s="747"/>
      <c r="AL329" s="747"/>
      <c r="AM329" s="746"/>
    </row>
    <row r="330" spans="1:39" s="1514" customFormat="1" ht="25.5">
      <c r="A330" s="777">
        <v>10</v>
      </c>
      <c r="B330" s="1228" t="s">
        <v>121</v>
      </c>
      <c r="C330" s="1228"/>
      <c r="D330" s="1229"/>
      <c r="E330" s="159" t="s">
        <v>37</v>
      </c>
      <c r="F330" s="1112" t="s">
        <v>386</v>
      </c>
      <c r="G330" s="1230" t="s">
        <v>49</v>
      </c>
      <c r="H330" s="358">
        <v>2015</v>
      </c>
      <c r="I330" s="358">
        <v>2015</v>
      </c>
      <c r="J330" s="1216">
        <v>2017</v>
      </c>
      <c r="K330" s="358" t="s">
        <v>399</v>
      </c>
      <c r="L330" s="358"/>
      <c r="M330" s="394" t="s">
        <v>122</v>
      </c>
      <c r="N330" s="1115">
        <v>4957</v>
      </c>
      <c r="O330" s="1115">
        <v>0</v>
      </c>
      <c r="P330" s="1115">
        <v>4957</v>
      </c>
      <c r="Q330" s="1115">
        <v>3856</v>
      </c>
      <c r="R330" s="1115">
        <v>0</v>
      </c>
      <c r="S330" s="1115">
        <v>3856</v>
      </c>
      <c r="T330" s="1115">
        <v>2711</v>
      </c>
      <c r="U330" s="1115">
        <v>483</v>
      </c>
      <c r="V330" s="776">
        <f>VLOOKUP($B330,QD!$B$9:$L$316,10,0)</f>
        <v>483</v>
      </c>
      <c r="W330" s="776">
        <v>483</v>
      </c>
      <c r="X330" s="776">
        <v>100</v>
      </c>
      <c r="Y330" s="1116"/>
      <c r="Z330" s="776">
        <f t="shared" si="181"/>
        <v>483</v>
      </c>
      <c r="AA330" s="775">
        <f t="shared" si="228"/>
        <v>4339</v>
      </c>
      <c r="AB330" s="775">
        <f t="shared" si="229"/>
        <v>483</v>
      </c>
      <c r="AC330" s="775">
        <f t="shared" si="230"/>
        <v>4339</v>
      </c>
      <c r="AD330" s="775">
        <f t="shared" si="231"/>
        <v>2711</v>
      </c>
      <c r="AE330" s="775">
        <f t="shared" si="232"/>
        <v>0</v>
      </c>
      <c r="AF330" s="1116"/>
      <c r="AG330" s="782"/>
      <c r="AH330" s="1048" t="s">
        <v>690</v>
      </c>
      <c r="AI330" s="1514">
        <f t="shared" si="233"/>
        <v>1</v>
      </c>
      <c r="AK330" s="1515"/>
      <c r="AL330" s="1515"/>
      <c r="AM330" s="1516"/>
    </row>
    <row r="331" spans="1:39" s="1514" customFormat="1" ht="25.5">
      <c r="A331" s="777">
        <v>11</v>
      </c>
      <c r="B331" s="1111" t="s">
        <v>123</v>
      </c>
      <c r="C331" s="1111"/>
      <c r="D331" s="1227"/>
      <c r="E331" s="159" t="s">
        <v>37</v>
      </c>
      <c r="F331" s="1112" t="s">
        <v>386</v>
      </c>
      <c r="G331" s="389" t="s">
        <v>44</v>
      </c>
      <c r="H331" s="358">
        <v>2015</v>
      </c>
      <c r="I331" s="358">
        <v>2015</v>
      </c>
      <c r="J331" s="1216">
        <v>2017</v>
      </c>
      <c r="K331" s="358" t="s">
        <v>399</v>
      </c>
      <c r="L331" s="358"/>
      <c r="M331" s="389" t="s">
        <v>124</v>
      </c>
      <c r="N331" s="1115">
        <v>4632</v>
      </c>
      <c r="O331" s="1115">
        <v>0</v>
      </c>
      <c r="P331" s="1115">
        <v>4632</v>
      </c>
      <c r="Q331" s="1115">
        <v>2934</v>
      </c>
      <c r="R331" s="1115">
        <v>0</v>
      </c>
      <c r="S331" s="1115">
        <v>2934</v>
      </c>
      <c r="T331" s="1115">
        <v>2469</v>
      </c>
      <c r="U331" s="1115">
        <v>1235</v>
      </c>
      <c r="V331" s="776">
        <f>VLOOKUP($B331,QD!$B$9:$L$316,10,0)</f>
        <v>1235</v>
      </c>
      <c r="W331" s="776">
        <v>1235</v>
      </c>
      <c r="X331" s="776">
        <v>100</v>
      </c>
      <c r="Y331" s="1116">
        <v>-1100</v>
      </c>
      <c r="Z331" s="776">
        <f t="shared" si="181"/>
        <v>135</v>
      </c>
      <c r="AA331" s="775">
        <f t="shared" si="228"/>
        <v>3069</v>
      </c>
      <c r="AB331" s="775">
        <f t="shared" si="229"/>
        <v>135</v>
      </c>
      <c r="AC331" s="775">
        <f t="shared" si="230"/>
        <v>3069</v>
      </c>
      <c r="AD331" s="775">
        <f t="shared" si="231"/>
        <v>2469</v>
      </c>
      <c r="AE331" s="775"/>
      <c r="AF331" s="1116"/>
      <c r="AG331" s="782"/>
      <c r="AH331" s="1668" t="s">
        <v>1610</v>
      </c>
      <c r="AI331" s="1514">
        <f t="shared" si="233"/>
        <v>1</v>
      </c>
      <c r="AK331" s="1515"/>
      <c r="AL331" s="1515"/>
      <c r="AM331" s="1516"/>
    </row>
    <row r="332" spans="1:39" s="1514" customFormat="1" ht="38.25">
      <c r="A332" s="777">
        <v>12</v>
      </c>
      <c r="B332" s="1231" t="s">
        <v>125</v>
      </c>
      <c r="C332" s="1231"/>
      <c r="D332" s="1232"/>
      <c r="E332" s="159" t="s">
        <v>37</v>
      </c>
      <c r="F332" s="1112" t="s">
        <v>386</v>
      </c>
      <c r="G332" s="185" t="s">
        <v>10</v>
      </c>
      <c r="H332" s="358">
        <v>2015</v>
      </c>
      <c r="I332" s="358">
        <v>2015</v>
      </c>
      <c r="J332" s="1216">
        <v>2017</v>
      </c>
      <c r="K332" s="358" t="s">
        <v>399</v>
      </c>
      <c r="L332" s="358"/>
      <c r="M332" s="397" t="s">
        <v>633</v>
      </c>
      <c r="N332" s="1115">
        <v>4636</v>
      </c>
      <c r="O332" s="1115">
        <v>0</v>
      </c>
      <c r="P332" s="1115">
        <v>4636</v>
      </c>
      <c r="Q332" s="1115">
        <v>2636</v>
      </c>
      <c r="R332" s="1115">
        <v>0</v>
      </c>
      <c r="S332" s="1115">
        <v>2636</v>
      </c>
      <c r="T332" s="1115">
        <v>3072</v>
      </c>
      <c r="U332" s="1115">
        <v>1536</v>
      </c>
      <c r="V332" s="776">
        <f>VLOOKUP($B332,QD!$B$9:$L$316,10,0)</f>
        <v>1536</v>
      </c>
      <c r="W332" s="776">
        <v>1536</v>
      </c>
      <c r="X332" s="776">
        <v>100</v>
      </c>
      <c r="Y332" s="1116"/>
      <c r="Z332" s="776">
        <f t="shared" si="181"/>
        <v>1536</v>
      </c>
      <c r="AA332" s="775">
        <f t="shared" si="228"/>
        <v>4172</v>
      </c>
      <c r="AB332" s="775">
        <f t="shared" si="229"/>
        <v>1536</v>
      </c>
      <c r="AC332" s="775">
        <f t="shared" si="230"/>
        <v>4172</v>
      </c>
      <c r="AD332" s="775">
        <f t="shared" si="231"/>
        <v>3072</v>
      </c>
      <c r="AE332" s="775">
        <f t="shared" si="232"/>
        <v>0</v>
      </c>
      <c r="AF332" s="1116"/>
      <c r="AG332" s="782"/>
      <c r="AH332" s="1668" t="s">
        <v>634</v>
      </c>
      <c r="AI332" s="1514">
        <f t="shared" si="233"/>
        <v>1</v>
      </c>
      <c r="AK332" s="1515"/>
      <c r="AL332" s="1515"/>
      <c r="AM332" s="1516"/>
    </row>
    <row r="333" spans="1:39" s="1514" customFormat="1" ht="38.25">
      <c r="A333" s="777">
        <v>13</v>
      </c>
      <c r="B333" s="1233" t="s">
        <v>126</v>
      </c>
      <c r="C333" s="1233"/>
      <c r="D333" s="1234"/>
      <c r="E333" s="159" t="s">
        <v>37</v>
      </c>
      <c r="F333" s="1112" t="s">
        <v>386</v>
      </c>
      <c r="G333" s="1235" t="s">
        <v>49</v>
      </c>
      <c r="H333" s="358">
        <v>2015</v>
      </c>
      <c r="I333" s="358">
        <v>2015</v>
      </c>
      <c r="J333" s="1216">
        <v>2017</v>
      </c>
      <c r="K333" s="358" t="s">
        <v>399</v>
      </c>
      <c r="L333" s="358"/>
      <c r="M333" s="390" t="s">
        <v>127</v>
      </c>
      <c r="N333" s="1115">
        <v>6410</v>
      </c>
      <c r="O333" s="1115">
        <v>0</v>
      </c>
      <c r="P333" s="1115">
        <v>6410</v>
      </c>
      <c r="Q333" s="1115">
        <v>4802</v>
      </c>
      <c r="R333" s="1115">
        <v>0</v>
      </c>
      <c r="S333" s="1115">
        <v>4802</v>
      </c>
      <c r="T333" s="1115">
        <v>3703</v>
      </c>
      <c r="U333" s="1115">
        <v>1472</v>
      </c>
      <c r="V333" s="776">
        <f>VLOOKUP($B333,QD!$B$9:$L$316,10,0)</f>
        <v>1472</v>
      </c>
      <c r="W333" s="776">
        <v>1472</v>
      </c>
      <c r="X333" s="776">
        <v>100</v>
      </c>
      <c r="Y333" s="1116"/>
      <c r="Z333" s="776">
        <f t="shared" si="181"/>
        <v>1472</v>
      </c>
      <c r="AA333" s="775">
        <f t="shared" si="228"/>
        <v>6274</v>
      </c>
      <c r="AB333" s="775">
        <f t="shared" si="229"/>
        <v>1472</v>
      </c>
      <c r="AC333" s="775">
        <f t="shared" si="230"/>
        <v>6274</v>
      </c>
      <c r="AD333" s="775">
        <f t="shared" si="231"/>
        <v>3703</v>
      </c>
      <c r="AE333" s="775">
        <f t="shared" si="232"/>
        <v>0</v>
      </c>
      <c r="AF333" s="1116"/>
      <c r="AG333" s="782"/>
      <c r="AH333" s="1668" t="s">
        <v>691</v>
      </c>
      <c r="AI333" s="1514">
        <f t="shared" si="233"/>
        <v>1</v>
      </c>
      <c r="AK333" s="1515"/>
      <c r="AL333" s="1515"/>
      <c r="AM333" s="1516"/>
    </row>
    <row r="334" spans="1:39" ht="38.25">
      <c r="A334" s="777">
        <v>14</v>
      </c>
      <c r="B334" s="1215" t="s">
        <v>109</v>
      </c>
      <c r="C334" s="1215"/>
      <c r="D334" s="1218"/>
      <c r="E334" s="159" t="s">
        <v>47</v>
      </c>
      <c r="F334" s="1112" t="s">
        <v>386</v>
      </c>
      <c r="G334" s="159" t="s">
        <v>33</v>
      </c>
      <c r="H334" s="358">
        <v>2015</v>
      </c>
      <c r="I334" s="358"/>
      <c r="J334" s="1216">
        <v>2017</v>
      </c>
      <c r="K334" s="358"/>
      <c r="L334" s="358"/>
      <c r="M334" s="185" t="s">
        <v>110</v>
      </c>
      <c r="N334" s="1115">
        <v>19000</v>
      </c>
      <c r="O334" s="1115">
        <v>0</v>
      </c>
      <c r="P334" s="1115">
        <v>8656</v>
      </c>
      <c r="Q334" s="1115">
        <v>12844</v>
      </c>
      <c r="R334" s="1115">
        <v>0</v>
      </c>
      <c r="S334" s="1115">
        <v>4500</v>
      </c>
      <c r="T334" s="1115">
        <v>8756</v>
      </c>
      <c r="U334" s="1115">
        <v>4256</v>
      </c>
      <c r="V334" s="776">
        <f>VLOOKUP($B334,QD!$B$9:$L$316,10,0)</f>
        <v>4256</v>
      </c>
      <c r="W334" s="776">
        <v>4256</v>
      </c>
      <c r="X334" s="776">
        <v>100</v>
      </c>
      <c r="Y334" s="1116"/>
      <c r="Z334" s="776">
        <f t="shared" si="181"/>
        <v>4256</v>
      </c>
      <c r="AA334" s="775">
        <f t="shared" si="228"/>
        <v>17100</v>
      </c>
      <c r="AB334" s="775">
        <f t="shared" si="229"/>
        <v>4256</v>
      </c>
      <c r="AC334" s="775">
        <f t="shared" si="230"/>
        <v>8756</v>
      </c>
      <c r="AD334" s="775">
        <f t="shared" si="231"/>
        <v>8756</v>
      </c>
      <c r="AE334" s="775">
        <f t="shared" si="232"/>
        <v>0</v>
      </c>
      <c r="AF334" s="1116"/>
      <c r="AG334" s="776"/>
      <c r="AH334" s="1668"/>
      <c r="AI334" s="745">
        <f t="shared" si="233"/>
        <v>1</v>
      </c>
      <c r="AK334" s="747"/>
      <c r="AL334" s="747"/>
      <c r="AM334" s="746"/>
    </row>
    <row r="335" spans="1:39" ht="38.25">
      <c r="A335" s="777">
        <v>15</v>
      </c>
      <c r="B335" s="933" t="s">
        <v>479</v>
      </c>
      <c r="C335" s="933"/>
      <c r="D335" s="1217"/>
      <c r="E335" s="159" t="s">
        <v>37</v>
      </c>
      <c r="F335" s="1112" t="s">
        <v>386</v>
      </c>
      <c r="G335" s="203" t="s">
        <v>9</v>
      </c>
      <c r="H335" s="358">
        <v>2015</v>
      </c>
      <c r="I335" s="358"/>
      <c r="J335" s="1216">
        <v>2017</v>
      </c>
      <c r="K335" s="358"/>
      <c r="L335" s="358"/>
      <c r="M335" s="385" t="s">
        <v>481</v>
      </c>
      <c r="N335" s="1115">
        <v>4581</v>
      </c>
      <c r="O335" s="1115">
        <v>0</v>
      </c>
      <c r="P335" s="1115">
        <v>3206.7</v>
      </c>
      <c r="Q335" s="1115">
        <v>2000</v>
      </c>
      <c r="R335" s="1115">
        <v>0</v>
      </c>
      <c r="S335" s="1115">
        <v>2000</v>
      </c>
      <c r="T335" s="1115">
        <v>1686</v>
      </c>
      <c r="U335" s="1115">
        <v>886</v>
      </c>
      <c r="V335" s="776">
        <f>VLOOKUP($B335,QD!$B$9:$L$316,10,0)</f>
        <v>886</v>
      </c>
      <c r="W335" s="776">
        <v>886</v>
      </c>
      <c r="X335" s="776">
        <v>100</v>
      </c>
      <c r="Y335" s="1116"/>
      <c r="Z335" s="776">
        <f t="shared" si="181"/>
        <v>886</v>
      </c>
      <c r="AA335" s="775">
        <f t="shared" si="228"/>
        <v>2886</v>
      </c>
      <c r="AB335" s="775">
        <f t="shared" si="229"/>
        <v>886</v>
      </c>
      <c r="AC335" s="775">
        <f t="shared" si="230"/>
        <v>2886</v>
      </c>
      <c r="AD335" s="775">
        <f t="shared" si="231"/>
        <v>1686</v>
      </c>
      <c r="AE335" s="775">
        <f t="shared" si="232"/>
        <v>0</v>
      </c>
      <c r="AF335" s="1116"/>
      <c r="AG335" s="776"/>
      <c r="AH335" s="1668"/>
      <c r="AI335" s="745">
        <f t="shared" si="233"/>
        <v>1</v>
      </c>
      <c r="AK335" s="747"/>
      <c r="AL335" s="747"/>
      <c r="AM335" s="746"/>
    </row>
    <row r="336" spans="1:39" ht="25.5">
      <c r="A336" s="777">
        <v>16</v>
      </c>
      <c r="B336" s="1236" t="s">
        <v>139</v>
      </c>
      <c r="C336" s="1236"/>
      <c r="D336" s="1237"/>
      <c r="E336" s="159" t="s">
        <v>37</v>
      </c>
      <c r="F336" s="1112" t="s">
        <v>386</v>
      </c>
      <c r="G336" s="1094" t="s">
        <v>49</v>
      </c>
      <c r="H336" s="358">
        <v>2015</v>
      </c>
      <c r="I336" s="358">
        <v>2015</v>
      </c>
      <c r="J336" s="1216">
        <v>2017</v>
      </c>
      <c r="K336" s="358" t="s">
        <v>399</v>
      </c>
      <c r="L336" s="358"/>
      <c r="M336" s="399" t="s">
        <v>140</v>
      </c>
      <c r="N336" s="1115">
        <v>10300</v>
      </c>
      <c r="O336" s="1115">
        <v>0</v>
      </c>
      <c r="P336" s="1115">
        <v>10300</v>
      </c>
      <c r="Q336" s="1115">
        <v>7285</v>
      </c>
      <c r="R336" s="1115">
        <v>0</v>
      </c>
      <c r="S336" s="1115">
        <v>7285</v>
      </c>
      <c r="T336" s="1115">
        <v>6770</v>
      </c>
      <c r="U336" s="1115">
        <v>1985</v>
      </c>
      <c r="V336" s="776">
        <f>VLOOKUP($B336,QD!$B$9:$L$316,10,0)</f>
        <v>1985</v>
      </c>
      <c r="W336" s="776">
        <v>1985</v>
      </c>
      <c r="X336" s="776">
        <v>100</v>
      </c>
      <c r="Y336" s="1116"/>
      <c r="Z336" s="776">
        <f t="shared" si="181"/>
        <v>1985</v>
      </c>
      <c r="AA336" s="775">
        <f t="shared" si="228"/>
        <v>9270</v>
      </c>
      <c r="AB336" s="775">
        <f t="shared" si="229"/>
        <v>1985</v>
      </c>
      <c r="AC336" s="775">
        <f t="shared" si="230"/>
        <v>9270</v>
      </c>
      <c r="AD336" s="775">
        <f t="shared" si="231"/>
        <v>6770</v>
      </c>
      <c r="AE336" s="775">
        <f t="shared" si="232"/>
        <v>0</v>
      </c>
      <c r="AF336" s="1116"/>
      <c r="AG336" s="776"/>
      <c r="AH336" s="1669"/>
      <c r="AI336" s="745">
        <f t="shared" si="233"/>
        <v>1</v>
      </c>
      <c r="AK336" s="747"/>
      <c r="AL336" s="747"/>
      <c r="AM336" s="746"/>
    </row>
    <row r="337" spans="1:40" ht="25.5">
      <c r="A337" s="777">
        <v>18</v>
      </c>
      <c r="B337" s="1238" t="s">
        <v>130</v>
      </c>
      <c r="C337" s="1238"/>
      <c r="D337" s="1239"/>
      <c r="E337" s="159" t="s">
        <v>37</v>
      </c>
      <c r="F337" s="1112" t="s">
        <v>386</v>
      </c>
      <c r="G337" s="1094" t="s">
        <v>17</v>
      </c>
      <c r="H337" s="358">
        <v>2016</v>
      </c>
      <c r="I337" s="358">
        <v>2016</v>
      </c>
      <c r="J337" s="1216">
        <v>2018</v>
      </c>
      <c r="K337" s="358" t="s">
        <v>399</v>
      </c>
      <c r="L337" s="358"/>
      <c r="M337" s="394" t="s">
        <v>131</v>
      </c>
      <c r="N337" s="1115">
        <v>4800</v>
      </c>
      <c r="O337" s="1115">
        <v>0</v>
      </c>
      <c r="P337" s="1115">
        <v>4800</v>
      </c>
      <c r="Q337" s="1115">
        <v>1395</v>
      </c>
      <c r="R337" s="1115">
        <v>0</v>
      </c>
      <c r="S337" s="1115">
        <v>1395</v>
      </c>
      <c r="T337" s="1115">
        <v>4270</v>
      </c>
      <c r="U337" s="1115">
        <v>2925</v>
      </c>
      <c r="V337" s="776">
        <f>VLOOKUP($B337,QD!$B$9:$L$316,10,0)</f>
        <v>2925</v>
      </c>
      <c r="W337" s="776">
        <v>2925</v>
      </c>
      <c r="X337" s="776">
        <v>100</v>
      </c>
      <c r="Y337" s="1116"/>
      <c r="Z337" s="776">
        <f t="shared" si="181"/>
        <v>2925</v>
      </c>
      <c r="AA337" s="775">
        <f t="shared" si="228"/>
        <v>4320</v>
      </c>
      <c r="AB337" s="775">
        <f t="shared" si="229"/>
        <v>2925</v>
      </c>
      <c r="AC337" s="775">
        <f t="shared" si="230"/>
        <v>4320</v>
      </c>
      <c r="AD337" s="775">
        <f t="shared" si="231"/>
        <v>4270</v>
      </c>
      <c r="AE337" s="775">
        <f t="shared" si="232"/>
        <v>0</v>
      </c>
      <c r="AF337" s="1116"/>
      <c r="AG337" s="776"/>
      <c r="AH337" s="1668"/>
      <c r="AI337" s="745">
        <f t="shared" si="233"/>
        <v>1</v>
      </c>
      <c r="AK337" s="747"/>
      <c r="AL337" s="747"/>
      <c r="AM337" s="746"/>
    </row>
    <row r="338" spans="1:40" ht="51">
      <c r="A338" s="777">
        <v>19</v>
      </c>
      <c r="B338" s="1111" t="s">
        <v>135</v>
      </c>
      <c r="C338" s="1111"/>
      <c r="D338" s="1227"/>
      <c r="E338" s="159" t="s">
        <v>37</v>
      </c>
      <c r="F338" s="1112" t="s">
        <v>386</v>
      </c>
      <c r="G338" s="1094" t="s">
        <v>17</v>
      </c>
      <c r="H338" s="358">
        <v>2014</v>
      </c>
      <c r="I338" s="358">
        <v>2014</v>
      </c>
      <c r="J338" s="1216">
        <v>2018</v>
      </c>
      <c r="K338" s="358">
        <v>2016</v>
      </c>
      <c r="L338" s="358"/>
      <c r="M338" s="389" t="s">
        <v>136</v>
      </c>
      <c r="N338" s="1115">
        <v>57371</v>
      </c>
      <c r="O338" s="1115">
        <v>0</v>
      </c>
      <c r="P338" s="1115">
        <v>17371</v>
      </c>
      <c r="Q338" s="1115">
        <v>48000</v>
      </c>
      <c r="R338" s="1115">
        <v>0</v>
      </c>
      <c r="S338" s="1115">
        <v>8000</v>
      </c>
      <c r="T338" s="1115">
        <v>11634</v>
      </c>
      <c r="U338" s="1115">
        <v>3634</v>
      </c>
      <c r="V338" s="776">
        <f>VLOOKUP($B338,QD!$B$9:$L$316,10,0)</f>
        <v>3634</v>
      </c>
      <c r="W338" s="776">
        <v>3634</v>
      </c>
      <c r="X338" s="776">
        <v>100</v>
      </c>
      <c r="Y338" s="1116"/>
      <c r="Z338" s="776">
        <f t="shared" si="181"/>
        <v>3634</v>
      </c>
      <c r="AA338" s="775">
        <f t="shared" si="228"/>
        <v>51634</v>
      </c>
      <c r="AB338" s="775">
        <f t="shared" si="229"/>
        <v>3634</v>
      </c>
      <c r="AC338" s="775">
        <f t="shared" si="230"/>
        <v>11634</v>
      </c>
      <c r="AD338" s="775">
        <f t="shared" si="231"/>
        <v>11634</v>
      </c>
      <c r="AE338" s="775">
        <f t="shared" si="232"/>
        <v>0</v>
      </c>
      <c r="AF338" s="1116"/>
      <c r="AG338" s="776"/>
      <c r="AH338" s="1669"/>
      <c r="AI338" s="745">
        <f t="shared" si="233"/>
        <v>1</v>
      </c>
      <c r="AK338" s="747"/>
      <c r="AL338" s="747"/>
      <c r="AM338" s="746"/>
    </row>
    <row r="339" spans="1:40" ht="38.25">
      <c r="A339" s="777">
        <v>20</v>
      </c>
      <c r="B339" s="1215" t="s">
        <v>468</v>
      </c>
      <c r="C339" s="1215"/>
      <c r="D339" s="1218"/>
      <c r="E339" s="1224" t="s">
        <v>41</v>
      </c>
      <c r="F339" s="1112" t="s">
        <v>386</v>
      </c>
      <c r="G339" s="185" t="s">
        <v>10</v>
      </c>
      <c r="H339" s="358">
        <v>2015</v>
      </c>
      <c r="I339" s="358">
        <v>2015</v>
      </c>
      <c r="J339" s="1216">
        <v>2018</v>
      </c>
      <c r="K339" s="358" t="s">
        <v>399</v>
      </c>
      <c r="L339" s="358"/>
      <c r="M339" s="185" t="s">
        <v>473</v>
      </c>
      <c r="N339" s="1115">
        <v>6734</v>
      </c>
      <c r="O339" s="1115">
        <v>0</v>
      </c>
      <c r="P339" s="1115">
        <v>6734</v>
      </c>
      <c r="Q339" s="1115">
        <v>4140</v>
      </c>
      <c r="R339" s="1115">
        <v>0</v>
      </c>
      <c r="S339" s="1115">
        <v>4140</v>
      </c>
      <c r="T339" s="1115">
        <v>3840</v>
      </c>
      <c r="U339" s="1115">
        <v>1920</v>
      </c>
      <c r="V339" s="776">
        <f>VLOOKUP($B339,QD!$B$9:$L$316,10,0)</f>
        <v>1920</v>
      </c>
      <c r="W339" s="776">
        <v>1920</v>
      </c>
      <c r="X339" s="776">
        <v>100</v>
      </c>
      <c r="Y339" s="1116"/>
      <c r="Z339" s="776">
        <f t="shared" si="181"/>
        <v>1920</v>
      </c>
      <c r="AA339" s="775">
        <f t="shared" si="228"/>
        <v>6060</v>
      </c>
      <c r="AB339" s="775">
        <f t="shared" si="229"/>
        <v>1920</v>
      </c>
      <c r="AC339" s="775">
        <f t="shared" si="230"/>
        <v>6060</v>
      </c>
      <c r="AD339" s="775">
        <f t="shared" si="231"/>
        <v>3840</v>
      </c>
      <c r="AE339" s="775">
        <f t="shared" si="232"/>
        <v>0</v>
      </c>
      <c r="AF339" s="1116"/>
      <c r="AG339" s="776"/>
      <c r="AH339" s="1669"/>
      <c r="AI339" s="745">
        <f t="shared" si="233"/>
        <v>1</v>
      </c>
      <c r="AK339" s="747"/>
      <c r="AL339" s="747"/>
      <c r="AM339" s="746"/>
    </row>
    <row r="340" spans="1:40" ht="25.5">
      <c r="A340" s="777">
        <v>21</v>
      </c>
      <c r="B340" s="956" t="s">
        <v>159</v>
      </c>
      <c r="C340" s="956"/>
      <c r="D340" s="956"/>
      <c r="E340" s="956"/>
      <c r="F340" s="956"/>
      <c r="G340" s="423" t="s">
        <v>9</v>
      </c>
      <c r="H340" s="1240">
        <v>2017</v>
      </c>
      <c r="I340" s="1240"/>
      <c r="J340" s="1241">
        <v>2018</v>
      </c>
      <c r="K340" s="1240"/>
      <c r="L340" s="1240"/>
      <c r="M340" s="410" t="s">
        <v>482</v>
      </c>
      <c r="N340" s="796">
        <v>3190</v>
      </c>
      <c r="O340" s="796"/>
      <c r="P340" s="796">
        <v>3190</v>
      </c>
      <c r="Q340" s="796">
        <v>2000</v>
      </c>
      <c r="R340" s="796"/>
      <c r="S340" s="796">
        <v>2000</v>
      </c>
      <c r="T340" s="796">
        <v>2871</v>
      </c>
      <c r="U340" s="796">
        <v>871</v>
      </c>
      <c r="V340" s="776">
        <f>VLOOKUP($B340,QD!$B$9:$L$316,10,0)</f>
        <v>871</v>
      </c>
      <c r="W340" s="776">
        <v>871</v>
      </c>
      <c r="X340" s="776">
        <v>100</v>
      </c>
      <c r="Y340" s="957"/>
      <c r="Z340" s="776">
        <f t="shared" si="181"/>
        <v>871</v>
      </c>
      <c r="AA340" s="775">
        <f t="shared" si="228"/>
        <v>2871</v>
      </c>
      <c r="AB340" s="775">
        <f t="shared" si="229"/>
        <v>871</v>
      </c>
      <c r="AC340" s="775">
        <f t="shared" si="230"/>
        <v>2871</v>
      </c>
      <c r="AD340" s="775">
        <f t="shared" si="231"/>
        <v>2871</v>
      </c>
      <c r="AE340" s="775">
        <f t="shared" si="232"/>
        <v>0</v>
      </c>
      <c r="AF340" s="957"/>
      <c r="AG340" s="776"/>
      <c r="AH340" s="1325"/>
      <c r="AI340" s="745">
        <f t="shared" si="233"/>
        <v>1</v>
      </c>
      <c r="AK340" s="747"/>
      <c r="AL340" s="747"/>
      <c r="AM340" s="746"/>
    </row>
    <row r="341" spans="1:40" s="1514" customFormat="1" ht="38.25">
      <c r="A341" s="777">
        <v>22</v>
      </c>
      <c r="B341" s="1242" t="s">
        <v>519</v>
      </c>
      <c r="C341" s="1242"/>
      <c r="D341" s="1242"/>
      <c r="E341" s="1242"/>
      <c r="F341" s="1242"/>
      <c r="G341" s="312" t="s">
        <v>9</v>
      </c>
      <c r="H341" s="1243">
        <v>2017</v>
      </c>
      <c r="I341" s="1243"/>
      <c r="J341" s="1244">
        <v>2018</v>
      </c>
      <c r="K341" s="1245"/>
      <c r="L341" s="1245"/>
      <c r="M341" s="312" t="s">
        <v>160</v>
      </c>
      <c r="N341" s="796">
        <v>4784</v>
      </c>
      <c r="O341" s="796"/>
      <c r="P341" s="796">
        <v>4784</v>
      </c>
      <c r="Q341" s="957">
        <v>2000</v>
      </c>
      <c r="R341" s="957"/>
      <c r="S341" s="957">
        <v>2000</v>
      </c>
      <c r="T341" s="957">
        <v>4306</v>
      </c>
      <c r="U341" s="957">
        <v>0</v>
      </c>
      <c r="V341" s="776"/>
      <c r="W341" s="776"/>
      <c r="X341" s="776"/>
      <c r="Y341" s="957"/>
      <c r="Z341" s="776">
        <f t="shared" si="181"/>
        <v>0</v>
      </c>
      <c r="AA341" s="775">
        <f t="shared" si="228"/>
        <v>2000</v>
      </c>
      <c r="AB341" s="775">
        <f t="shared" si="229"/>
        <v>0</v>
      </c>
      <c r="AC341" s="775">
        <f t="shared" si="230"/>
        <v>2000</v>
      </c>
      <c r="AD341" s="775">
        <f t="shared" si="231"/>
        <v>4306</v>
      </c>
      <c r="AE341" s="775">
        <f t="shared" si="232"/>
        <v>0</v>
      </c>
      <c r="AF341" s="957"/>
      <c r="AG341" s="782"/>
      <c r="AH341" s="1671" t="s">
        <v>526</v>
      </c>
      <c r="AI341" s="1514" t="e">
        <f t="shared" si="233"/>
        <v>#DIV/0!</v>
      </c>
      <c r="AK341" s="1515"/>
      <c r="AL341" s="1515"/>
      <c r="AM341" s="1516"/>
    </row>
    <row r="342" spans="1:40" ht="51">
      <c r="A342" s="777">
        <v>23</v>
      </c>
      <c r="B342" s="1246" t="s">
        <v>495</v>
      </c>
      <c r="C342" s="1246"/>
      <c r="D342" s="1246"/>
      <c r="E342" s="1246"/>
      <c r="F342" s="1246"/>
      <c r="G342" s="1247" t="s">
        <v>496</v>
      </c>
      <c r="H342" s="1248">
        <v>2017</v>
      </c>
      <c r="I342" s="1248"/>
      <c r="J342" s="1241">
        <v>2018</v>
      </c>
      <c r="K342" s="1240"/>
      <c r="L342" s="1240"/>
      <c r="M342" s="312" t="s">
        <v>497</v>
      </c>
      <c r="N342" s="796">
        <v>3473</v>
      </c>
      <c r="O342" s="796"/>
      <c r="P342" s="796">
        <v>3473</v>
      </c>
      <c r="Q342" s="796">
        <v>2895</v>
      </c>
      <c r="R342" s="796"/>
      <c r="S342" s="796">
        <v>2895</v>
      </c>
      <c r="T342" s="796">
        <v>3125</v>
      </c>
      <c r="U342" s="796">
        <v>230</v>
      </c>
      <c r="V342" s="776">
        <f>VLOOKUP($B342,QD!$B$9:$L$316,10,0)</f>
        <v>230</v>
      </c>
      <c r="W342" s="776">
        <v>230</v>
      </c>
      <c r="X342" s="776">
        <v>100</v>
      </c>
      <c r="Y342" s="957"/>
      <c r="Z342" s="776">
        <f t="shared" si="181"/>
        <v>230</v>
      </c>
      <c r="AA342" s="775">
        <f t="shared" si="228"/>
        <v>3125</v>
      </c>
      <c r="AB342" s="775">
        <f t="shared" si="229"/>
        <v>230</v>
      </c>
      <c r="AC342" s="775">
        <f t="shared" si="230"/>
        <v>3125</v>
      </c>
      <c r="AD342" s="775">
        <f t="shared" si="231"/>
        <v>3125</v>
      </c>
      <c r="AE342" s="775">
        <f t="shared" si="232"/>
        <v>0</v>
      </c>
      <c r="AF342" s="957"/>
      <c r="AG342" s="776"/>
      <c r="AH342" s="1671" t="s">
        <v>629</v>
      </c>
      <c r="AI342" s="745">
        <f t="shared" si="233"/>
        <v>1</v>
      </c>
      <c r="AK342" s="747"/>
      <c r="AL342" s="747"/>
      <c r="AM342" s="746"/>
    </row>
    <row r="343" spans="1:40" s="1514" customFormat="1" ht="25.5">
      <c r="A343" s="777">
        <v>24</v>
      </c>
      <c r="B343" s="1249" t="s">
        <v>150</v>
      </c>
      <c r="C343" s="1249"/>
      <c r="D343" s="1249"/>
      <c r="E343" s="1249"/>
      <c r="F343" s="1249"/>
      <c r="G343" s="1250" t="s">
        <v>9</v>
      </c>
      <c r="H343" s="1250">
        <v>2016</v>
      </c>
      <c r="I343" s="1250"/>
      <c r="J343" s="1216">
        <v>2018</v>
      </c>
      <c r="K343" s="1251"/>
      <c r="L343" s="1251"/>
      <c r="M343" s="412" t="s">
        <v>151</v>
      </c>
      <c r="N343" s="1252">
        <v>20077</v>
      </c>
      <c r="O343" s="1252"/>
      <c r="P343" s="1252">
        <v>20077</v>
      </c>
      <c r="Q343" s="1252">
        <v>13410</v>
      </c>
      <c r="R343" s="1252"/>
      <c r="S343" s="1252">
        <v>13410</v>
      </c>
      <c r="T343" s="1252">
        <v>13410</v>
      </c>
      <c r="U343" s="1252">
        <v>3667</v>
      </c>
      <c r="V343" s="776">
        <f>VLOOKUP($B343,QD!$B$9:$L$316,10,0)</f>
        <v>3667</v>
      </c>
      <c r="W343" s="776">
        <v>3667</v>
      </c>
      <c r="X343" s="776">
        <v>100</v>
      </c>
      <c r="Y343" s="1252"/>
      <c r="Z343" s="776">
        <f t="shared" si="181"/>
        <v>3667</v>
      </c>
      <c r="AA343" s="775">
        <f t="shared" si="228"/>
        <v>17077</v>
      </c>
      <c r="AB343" s="775">
        <f t="shared" si="229"/>
        <v>3667</v>
      </c>
      <c r="AC343" s="775">
        <f t="shared" si="230"/>
        <v>17077</v>
      </c>
      <c r="AD343" s="775">
        <f t="shared" si="231"/>
        <v>13410</v>
      </c>
      <c r="AE343" s="775">
        <f t="shared" si="232"/>
        <v>0</v>
      </c>
      <c r="AF343" s="1252"/>
      <c r="AG343" s="782"/>
      <c r="AH343" s="1672" t="s">
        <v>538</v>
      </c>
      <c r="AI343" s="1514">
        <f t="shared" si="233"/>
        <v>1</v>
      </c>
      <c r="AK343" s="1515"/>
      <c r="AL343" s="1515"/>
      <c r="AM343" s="1516"/>
    </row>
    <row r="344" spans="1:40" ht="25.5">
      <c r="A344" s="777">
        <v>25</v>
      </c>
      <c r="B344" s="1253" t="s">
        <v>152</v>
      </c>
      <c r="C344" s="1253"/>
      <c r="D344" s="1253"/>
      <c r="E344" s="1253"/>
      <c r="F344" s="1253"/>
      <c r="G344" s="1254" t="s">
        <v>46</v>
      </c>
      <c r="H344" s="1250">
        <v>2016</v>
      </c>
      <c r="I344" s="1250"/>
      <c r="J344" s="1216">
        <v>2018</v>
      </c>
      <c r="K344" s="1251"/>
      <c r="L344" s="1251"/>
      <c r="M344" s="1255" t="s">
        <v>153</v>
      </c>
      <c r="N344" s="1256">
        <v>4358</v>
      </c>
      <c r="O344" s="1256"/>
      <c r="P344" s="1256">
        <v>4358</v>
      </c>
      <c r="Q344" s="1256">
        <f>1860+500</f>
        <v>2360</v>
      </c>
      <c r="R344" s="1256"/>
      <c r="S344" s="1256">
        <f>Q344</f>
        <v>2360</v>
      </c>
      <c r="T344" s="1256">
        <v>3922</v>
      </c>
      <c r="U344" s="1256">
        <v>1562</v>
      </c>
      <c r="V344" s="776">
        <f>VLOOKUP($B344,QD!$B$9:$L$316,10,0)</f>
        <v>1562</v>
      </c>
      <c r="W344" s="776">
        <v>1562</v>
      </c>
      <c r="X344" s="776">
        <v>100</v>
      </c>
      <c r="Y344" s="1116"/>
      <c r="Z344" s="776">
        <f t="shared" si="181"/>
        <v>1562</v>
      </c>
      <c r="AA344" s="775">
        <f t="shared" si="228"/>
        <v>3922</v>
      </c>
      <c r="AB344" s="775">
        <f t="shared" si="229"/>
        <v>1562</v>
      </c>
      <c r="AC344" s="775">
        <f t="shared" si="230"/>
        <v>3922</v>
      </c>
      <c r="AD344" s="775">
        <f t="shared" si="231"/>
        <v>3922</v>
      </c>
      <c r="AE344" s="775">
        <f t="shared" si="232"/>
        <v>0</v>
      </c>
      <c r="AF344" s="1116"/>
      <c r="AG344" s="776"/>
      <c r="AH344" s="1672"/>
      <c r="AI344" s="745">
        <f t="shared" si="233"/>
        <v>1</v>
      </c>
      <c r="AK344" s="747"/>
      <c r="AL344" s="747"/>
      <c r="AM344" s="746"/>
    </row>
    <row r="345" spans="1:40" ht="25.5">
      <c r="A345" s="777">
        <v>26</v>
      </c>
      <c r="B345" s="1253" t="s">
        <v>154</v>
      </c>
      <c r="C345" s="1253"/>
      <c r="D345" s="1253"/>
      <c r="E345" s="1253"/>
      <c r="F345" s="1253"/>
      <c r="G345" s="1254" t="s">
        <v>9</v>
      </c>
      <c r="H345" s="1250">
        <v>2016</v>
      </c>
      <c r="I345" s="1250"/>
      <c r="J345" s="1216">
        <v>2018</v>
      </c>
      <c r="K345" s="1251"/>
      <c r="L345" s="1251"/>
      <c r="M345" s="1255" t="s">
        <v>155</v>
      </c>
      <c r="N345" s="1256">
        <v>2107</v>
      </c>
      <c r="O345" s="1256"/>
      <c r="P345" s="1256">
        <v>2107</v>
      </c>
      <c r="Q345" s="1256">
        <v>1340</v>
      </c>
      <c r="R345" s="1256"/>
      <c r="S345" s="1256">
        <f>Q345</f>
        <v>1340</v>
      </c>
      <c r="T345" s="1256">
        <v>1896</v>
      </c>
      <c r="U345" s="1256">
        <v>556</v>
      </c>
      <c r="V345" s="776">
        <f>VLOOKUP($B345,QD!$B$9:$L$316,10,0)</f>
        <v>556</v>
      </c>
      <c r="W345" s="776">
        <v>556</v>
      </c>
      <c r="X345" s="776">
        <v>100</v>
      </c>
      <c r="Y345" s="1256"/>
      <c r="Z345" s="776">
        <f t="shared" si="181"/>
        <v>556</v>
      </c>
      <c r="AA345" s="775">
        <f t="shared" si="228"/>
        <v>1896</v>
      </c>
      <c r="AB345" s="775">
        <f t="shared" si="229"/>
        <v>556</v>
      </c>
      <c r="AC345" s="775">
        <f t="shared" si="230"/>
        <v>1896</v>
      </c>
      <c r="AD345" s="775">
        <f t="shared" si="231"/>
        <v>1896</v>
      </c>
      <c r="AE345" s="775">
        <f t="shared" si="232"/>
        <v>0</v>
      </c>
      <c r="AF345" s="1256"/>
      <c r="AG345" s="776"/>
      <c r="AH345" s="1672">
        <f>T347-Q347</f>
        <v>1357</v>
      </c>
      <c r="AI345" s="745">
        <f t="shared" si="233"/>
        <v>1</v>
      </c>
      <c r="AK345" s="747"/>
      <c r="AL345" s="747"/>
      <c r="AM345" s="746"/>
    </row>
    <row r="346" spans="1:40" s="1514" customFormat="1" ht="68.25" customHeight="1">
      <c r="A346" s="777">
        <v>27</v>
      </c>
      <c r="B346" s="1111" t="s">
        <v>137</v>
      </c>
      <c r="C346" s="1111"/>
      <c r="D346" s="1111"/>
      <c r="E346" s="1111"/>
      <c r="F346" s="1111"/>
      <c r="G346" s="389" t="s">
        <v>49</v>
      </c>
      <c r="H346" s="1250">
        <v>2016</v>
      </c>
      <c r="I346" s="1250"/>
      <c r="J346" s="1216">
        <v>2018</v>
      </c>
      <c r="K346" s="1251"/>
      <c r="L346" s="1251"/>
      <c r="M346" s="389" t="s">
        <v>138</v>
      </c>
      <c r="N346" s="1252">
        <v>8900</v>
      </c>
      <c r="O346" s="1252"/>
      <c r="P346" s="1252">
        <f>N346</f>
        <v>8900</v>
      </c>
      <c r="Q346" s="1252">
        <v>7100</v>
      </c>
      <c r="R346" s="1252"/>
      <c r="S346" s="1252">
        <v>7100</v>
      </c>
      <c r="T346" s="1252">
        <v>8010</v>
      </c>
      <c r="U346" s="1252">
        <v>900</v>
      </c>
      <c r="V346" s="776">
        <f>VLOOKUP($B346,QD!$B$9:$L$316,10,0)</f>
        <v>900</v>
      </c>
      <c r="W346" s="776">
        <v>900</v>
      </c>
      <c r="X346" s="776">
        <v>100</v>
      </c>
      <c r="Y346" s="1252"/>
      <c r="Z346" s="776">
        <f t="shared" si="181"/>
        <v>900</v>
      </c>
      <c r="AA346" s="775">
        <f t="shared" si="228"/>
        <v>8000</v>
      </c>
      <c r="AB346" s="775">
        <f t="shared" si="229"/>
        <v>900</v>
      </c>
      <c r="AC346" s="775">
        <f t="shared" si="230"/>
        <v>8000</v>
      </c>
      <c r="AD346" s="775">
        <f t="shared" si="231"/>
        <v>8010</v>
      </c>
      <c r="AE346" s="775">
        <f t="shared" si="232"/>
        <v>0</v>
      </c>
      <c r="AF346" s="1252"/>
      <c r="AG346" s="782"/>
      <c r="AH346" s="1094" t="s">
        <v>692</v>
      </c>
      <c r="AI346" s="1514">
        <f t="shared" si="233"/>
        <v>1</v>
      </c>
      <c r="AK346" s="1515"/>
      <c r="AL346" s="1515"/>
      <c r="AM346" s="1516"/>
    </row>
    <row r="347" spans="1:40" s="1514" customFormat="1" ht="71.25" customHeight="1">
      <c r="A347" s="777">
        <v>28</v>
      </c>
      <c r="B347" s="1111" t="s">
        <v>141</v>
      </c>
      <c r="C347" s="1111"/>
      <c r="D347" s="1111"/>
      <c r="E347" s="1111"/>
      <c r="F347" s="1111"/>
      <c r="G347" s="389" t="s">
        <v>49</v>
      </c>
      <c r="H347" s="1250">
        <v>2016</v>
      </c>
      <c r="I347" s="1250"/>
      <c r="J347" s="1216">
        <v>2018</v>
      </c>
      <c r="K347" s="1251"/>
      <c r="L347" s="1251"/>
      <c r="M347" s="389" t="s">
        <v>142</v>
      </c>
      <c r="N347" s="1252">
        <v>6508</v>
      </c>
      <c r="O347" s="1252"/>
      <c r="P347" s="1252">
        <f>N347</f>
        <v>6508</v>
      </c>
      <c r="Q347" s="1252">
        <v>4500</v>
      </c>
      <c r="R347" s="1252"/>
      <c r="S347" s="1252">
        <v>4500</v>
      </c>
      <c r="T347" s="1252">
        <v>5857</v>
      </c>
      <c r="U347" s="1252">
        <v>1357</v>
      </c>
      <c r="V347" s="776">
        <f>VLOOKUP($B347,QD!$B$9:$L$316,10,0)</f>
        <v>1357</v>
      </c>
      <c r="W347" s="776">
        <v>1357</v>
      </c>
      <c r="X347" s="776">
        <v>100</v>
      </c>
      <c r="Y347" s="1116"/>
      <c r="Z347" s="776">
        <f t="shared" si="181"/>
        <v>1357</v>
      </c>
      <c r="AA347" s="775">
        <f t="shared" si="228"/>
        <v>5857</v>
      </c>
      <c r="AB347" s="775">
        <f t="shared" si="229"/>
        <v>1357</v>
      </c>
      <c r="AC347" s="775">
        <f t="shared" si="230"/>
        <v>5857</v>
      </c>
      <c r="AD347" s="775">
        <f t="shared" si="231"/>
        <v>5857</v>
      </c>
      <c r="AE347" s="775">
        <f t="shared" si="232"/>
        <v>0</v>
      </c>
      <c r="AF347" s="1116"/>
      <c r="AG347" s="782"/>
      <c r="AH347" s="1094" t="s">
        <v>693</v>
      </c>
      <c r="AI347" s="1514">
        <f t="shared" si="233"/>
        <v>1</v>
      </c>
      <c r="AK347" s="1515"/>
      <c r="AL347" s="1515"/>
      <c r="AM347" s="1516"/>
    </row>
    <row r="348" spans="1:40" s="1514" customFormat="1" ht="71.25" customHeight="1">
      <c r="A348" s="777">
        <v>29</v>
      </c>
      <c r="B348" s="1111" t="s">
        <v>145</v>
      </c>
      <c r="C348" s="1111"/>
      <c r="D348" s="1111"/>
      <c r="E348" s="1111"/>
      <c r="F348" s="1111"/>
      <c r="G348" s="1094" t="s">
        <v>17</v>
      </c>
      <c r="H348" s="1250">
        <v>2016</v>
      </c>
      <c r="I348" s="1250"/>
      <c r="J348" s="1216">
        <v>2018</v>
      </c>
      <c r="K348" s="1251"/>
      <c r="L348" s="1251"/>
      <c r="M348" s="389" t="s">
        <v>146</v>
      </c>
      <c r="N348" s="1252">
        <v>2900</v>
      </c>
      <c r="O348" s="1252"/>
      <c r="P348" s="1252">
        <f>N348</f>
        <v>2900</v>
      </c>
      <c r="Q348" s="1252">
        <v>2000</v>
      </c>
      <c r="R348" s="1252"/>
      <c r="S348" s="1252">
        <v>2000</v>
      </c>
      <c r="T348" s="1252">
        <v>2610</v>
      </c>
      <c r="U348" s="1252">
        <v>610</v>
      </c>
      <c r="V348" s="776">
        <f>VLOOKUP($B348,QD!$B$9:$L$316,10,0)</f>
        <v>610</v>
      </c>
      <c r="W348" s="776">
        <v>610</v>
      </c>
      <c r="X348" s="776">
        <v>100</v>
      </c>
      <c r="Y348" s="1252"/>
      <c r="Z348" s="776">
        <f t="shared" si="181"/>
        <v>610</v>
      </c>
      <c r="AA348" s="775">
        <f t="shared" si="228"/>
        <v>2610</v>
      </c>
      <c r="AB348" s="775">
        <f t="shared" si="229"/>
        <v>610</v>
      </c>
      <c r="AC348" s="775">
        <f t="shared" si="230"/>
        <v>2610</v>
      </c>
      <c r="AD348" s="775">
        <f t="shared" si="231"/>
        <v>2610</v>
      </c>
      <c r="AE348" s="775">
        <f t="shared" si="232"/>
        <v>0</v>
      </c>
      <c r="AF348" s="1252"/>
      <c r="AG348" s="782"/>
      <c r="AH348" s="1094" t="s">
        <v>694</v>
      </c>
      <c r="AI348" s="1673">
        <f t="shared" si="233"/>
        <v>1</v>
      </c>
      <c r="AK348" s="1515"/>
      <c r="AL348" s="1515"/>
      <c r="AM348" s="1516"/>
    </row>
    <row r="349" spans="1:40" s="1514" customFormat="1" ht="25.5">
      <c r="A349" s="777">
        <v>30</v>
      </c>
      <c r="B349" s="1257" t="s">
        <v>456</v>
      </c>
      <c r="C349" s="1257"/>
      <c r="D349" s="1257"/>
      <c r="E349" s="1257"/>
      <c r="F349" s="1257"/>
      <c r="G349" s="1258" t="s">
        <v>49</v>
      </c>
      <c r="H349" s="1259">
        <v>2016</v>
      </c>
      <c r="I349" s="1259"/>
      <c r="J349" s="1216">
        <v>2018</v>
      </c>
      <c r="K349" s="1260"/>
      <c r="L349" s="1260"/>
      <c r="M349" s="1261" t="s">
        <v>457</v>
      </c>
      <c r="N349" s="1256">
        <v>9500</v>
      </c>
      <c r="O349" s="1256"/>
      <c r="P349" s="1256">
        <v>9500</v>
      </c>
      <c r="Q349" s="1256">
        <v>3500</v>
      </c>
      <c r="R349" s="1256"/>
      <c r="S349" s="1256">
        <v>3500</v>
      </c>
      <c r="T349" s="1256">
        <v>8550</v>
      </c>
      <c r="U349" s="1256">
        <v>5050</v>
      </c>
      <c r="V349" s="776">
        <f>VLOOKUP($B349,QD!$B$9:$L$316,10,0)</f>
        <v>5050</v>
      </c>
      <c r="W349" s="776">
        <v>5050</v>
      </c>
      <c r="X349" s="776">
        <v>100</v>
      </c>
      <c r="Y349" s="1256"/>
      <c r="Z349" s="776">
        <f t="shared" si="181"/>
        <v>5050</v>
      </c>
      <c r="AA349" s="775">
        <f t="shared" si="228"/>
        <v>8550</v>
      </c>
      <c r="AB349" s="775">
        <f t="shared" si="229"/>
        <v>5050</v>
      </c>
      <c r="AC349" s="775">
        <f t="shared" si="230"/>
        <v>8550</v>
      </c>
      <c r="AD349" s="775">
        <f t="shared" si="231"/>
        <v>8550</v>
      </c>
      <c r="AE349" s="775">
        <f t="shared" si="232"/>
        <v>0</v>
      </c>
      <c r="AF349" s="1256"/>
      <c r="AG349" s="776"/>
      <c r="AH349" s="1674"/>
      <c r="AI349" s="1673">
        <f t="shared" si="233"/>
        <v>1</v>
      </c>
      <c r="AK349" s="1515"/>
      <c r="AL349" s="1515"/>
      <c r="AM349" s="1516"/>
    </row>
    <row r="350" spans="1:40" ht="25.5">
      <c r="A350" s="777">
        <v>31</v>
      </c>
      <c r="B350" s="1111" t="s">
        <v>105</v>
      </c>
      <c r="C350" s="1111"/>
      <c r="D350" s="1111"/>
      <c r="E350" s="159" t="s">
        <v>50</v>
      </c>
      <c r="F350" s="1112" t="s">
        <v>386</v>
      </c>
      <c r="G350" s="159" t="s">
        <v>33</v>
      </c>
      <c r="H350" s="1114">
        <v>2014</v>
      </c>
      <c r="I350" s="1114">
        <v>2014</v>
      </c>
      <c r="J350" s="1216">
        <v>2019</v>
      </c>
      <c r="K350" s="358" t="s">
        <v>399</v>
      </c>
      <c r="L350" s="358"/>
      <c r="M350" s="361" t="s">
        <v>106</v>
      </c>
      <c r="N350" s="1115">
        <v>85119</v>
      </c>
      <c r="O350" s="1115">
        <v>0</v>
      </c>
      <c r="P350" s="1115">
        <v>11400</v>
      </c>
      <c r="Q350" s="1115">
        <v>44500</v>
      </c>
      <c r="R350" s="1115">
        <v>0</v>
      </c>
      <c r="S350" s="1115">
        <v>44500</v>
      </c>
      <c r="T350" s="1115">
        <v>11400</v>
      </c>
      <c r="U350" s="1115">
        <v>5900</v>
      </c>
      <c r="V350" s="776">
        <f>VLOOKUP($B350,QD!$B$9:$L$316,10,0)</f>
        <v>2950</v>
      </c>
      <c r="W350" s="776">
        <v>2950</v>
      </c>
      <c r="X350" s="776">
        <v>50</v>
      </c>
      <c r="Y350" s="1116"/>
      <c r="Z350" s="776">
        <f t="shared" si="181"/>
        <v>2950</v>
      </c>
      <c r="AA350" s="775">
        <f t="shared" si="228"/>
        <v>47450</v>
      </c>
      <c r="AB350" s="775">
        <f t="shared" si="229"/>
        <v>2950</v>
      </c>
      <c r="AC350" s="775">
        <f t="shared" si="230"/>
        <v>47450</v>
      </c>
      <c r="AD350" s="775">
        <f t="shared" si="231"/>
        <v>11400</v>
      </c>
      <c r="AE350" s="775">
        <f t="shared" si="232"/>
        <v>2950</v>
      </c>
      <c r="AF350" s="1116"/>
      <c r="AG350" s="776"/>
      <c r="AH350" s="1299"/>
      <c r="AI350" s="1675">
        <f t="shared" si="233"/>
        <v>0.5</v>
      </c>
      <c r="AK350" s="747" t="s">
        <v>2110</v>
      </c>
      <c r="AL350" s="747" t="s">
        <v>164</v>
      </c>
      <c r="AM350" s="746"/>
    </row>
    <row r="351" spans="1:40" ht="25.5">
      <c r="A351" s="777">
        <v>32</v>
      </c>
      <c r="B351" s="1238" t="s">
        <v>128</v>
      </c>
      <c r="C351" s="1238"/>
      <c r="D351" s="1239"/>
      <c r="E351" s="159" t="s">
        <v>37</v>
      </c>
      <c r="F351" s="1112" t="s">
        <v>386</v>
      </c>
      <c r="G351" s="1230" t="s">
        <v>49</v>
      </c>
      <c r="H351" s="358">
        <v>2017</v>
      </c>
      <c r="I351" s="358">
        <v>2017</v>
      </c>
      <c r="J351" s="1216">
        <v>2019</v>
      </c>
      <c r="K351" s="358" t="s">
        <v>399</v>
      </c>
      <c r="L351" s="358"/>
      <c r="M351" s="355" t="s">
        <v>129</v>
      </c>
      <c r="N351" s="1115">
        <v>8675</v>
      </c>
      <c r="O351" s="1115">
        <v>0</v>
      </c>
      <c r="P351" s="1115">
        <v>8675</v>
      </c>
      <c r="Q351" s="1115">
        <v>437</v>
      </c>
      <c r="R351" s="1115">
        <v>0</v>
      </c>
      <c r="S351" s="1115">
        <v>437</v>
      </c>
      <c r="T351" s="1115">
        <v>7808</v>
      </c>
      <c r="U351" s="1115">
        <v>7371</v>
      </c>
      <c r="V351" s="776">
        <f>VLOOKUP($B351,QD!$B$9:$L$316,10,0)</f>
        <v>3685</v>
      </c>
      <c r="W351" s="776">
        <v>3685.5</v>
      </c>
      <c r="X351" s="776">
        <v>50</v>
      </c>
      <c r="Y351" s="1116"/>
      <c r="Z351" s="776">
        <f t="shared" si="181"/>
        <v>3685</v>
      </c>
      <c r="AA351" s="775">
        <f t="shared" si="228"/>
        <v>4122</v>
      </c>
      <c r="AB351" s="775">
        <f t="shared" si="229"/>
        <v>3685</v>
      </c>
      <c r="AC351" s="775">
        <f t="shared" si="230"/>
        <v>4122</v>
      </c>
      <c r="AD351" s="775">
        <f t="shared" si="231"/>
        <v>7808</v>
      </c>
      <c r="AE351" s="775">
        <f t="shared" si="232"/>
        <v>3686</v>
      </c>
      <c r="AF351" s="1116"/>
      <c r="AG351" s="776"/>
      <c r="AH351" s="1668"/>
      <c r="AI351" s="1675">
        <f t="shared" si="233"/>
        <v>0.5</v>
      </c>
      <c r="AK351" s="747" t="s">
        <v>49</v>
      </c>
      <c r="AL351" s="747" t="s">
        <v>2061</v>
      </c>
      <c r="AM351" s="746"/>
    </row>
    <row r="352" spans="1:40" s="1173" customFormat="1" ht="81.75" customHeight="1">
      <c r="A352" s="1117">
        <v>33</v>
      </c>
      <c r="B352" s="1262" t="s">
        <v>132</v>
      </c>
      <c r="C352" s="1262"/>
      <c r="D352" s="1263"/>
      <c r="E352" s="1119" t="s">
        <v>37</v>
      </c>
      <c r="F352" s="1120" t="s">
        <v>386</v>
      </c>
      <c r="G352" s="1121" t="s">
        <v>17</v>
      </c>
      <c r="H352" s="1122">
        <v>2017</v>
      </c>
      <c r="I352" s="1122">
        <v>2017</v>
      </c>
      <c r="J352" s="1222">
        <v>2018</v>
      </c>
      <c r="K352" s="1122" t="s">
        <v>399</v>
      </c>
      <c r="L352" s="1122"/>
      <c r="M352" s="1264" t="s">
        <v>737</v>
      </c>
      <c r="N352" s="1125">
        <v>6190</v>
      </c>
      <c r="O352" s="1125">
        <v>0</v>
      </c>
      <c r="P352" s="1125">
        <v>6190</v>
      </c>
      <c r="Q352" s="1125">
        <v>3365</v>
      </c>
      <c r="R352" s="1125">
        <v>0</v>
      </c>
      <c r="S352" s="1125">
        <v>3365</v>
      </c>
      <c r="T352" s="1125">
        <v>5521</v>
      </c>
      <c r="U352" s="1125">
        <v>2521</v>
      </c>
      <c r="V352" s="776">
        <f>VLOOKUP($B352,QD!$B$9:$L$316,10,0)</f>
        <v>2521</v>
      </c>
      <c r="W352" s="776">
        <v>2521</v>
      </c>
      <c r="X352" s="776">
        <v>100</v>
      </c>
      <c r="Y352" s="1126"/>
      <c r="Z352" s="776">
        <f t="shared" si="181"/>
        <v>2521</v>
      </c>
      <c r="AA352" s="775">
        <f t="shared" si="228"/>
        <v>5886</v>
      </c>
      <c r="AB352" s="775">
        <f t="shared" si="229"/>
        <v>2521</v>
      </c>
      <c r="AC352" s="775">
        <f t="shared" si="230"/>
        <v>5886</v>
      </c>
      <c r="AD352" s="775">
        <f t="shared" si="231"/>
        <v>5521</v>
      </c>
      <c r="AE352" s="775">
        <f t="shared" si="232"/>
        <v>0</v>
      </c>
      <c r="AF352" s="1126"/>
      <c r="AG352" s="821"/>
      <c r="AH352" s="1670" t="s">
        <v>736</v>
      </c>
      <c r="AI352" s="1676">
        <f t="shared" si="233"/>
        <v>1</v>
      </c>
      <c r="AK352" s="1174"/>
      <c r="AL352" s="1174"/>
      <c r="AM352" s="746" t="s">
        <v>2081</v>
      </c>
      <c r="AN352" s="745"/>
    </row>
    <row r="353" spans="1:40" ht="25.5">
      <c r="A353" s="777">
        <v>34</v>
      </c>
      <c r="B353" s="1238" t="s">
        <v>133</v>
      </c>
      <c r="C353" s="1238"/>
      <c r="D353" s="1239"/>
      <c r="E353" s="159" t="s">
        <v>37</v>
      </c>
      <c r="F353" s="1112" t="s">
        <v>386</v>
      </c>
      <c r="G353" s="1094" t="s">
        <v>17</v>
      </c>
      <c r="H353" s="358">
        <v>2017</v>
      </c>
      <c r="I353" s="358">
        <v>2017</v>
      </c>
      <c r="J353" s="1216">
        <v>2019</v>
      </c>
      <c r="K353" s="358" t="s">
        <v>399</v>
      </c>
      <c r="L353" s="358"/>
      <c r="M353" s="394" t="s">
        <v>134</v>
      </c>
      <c r="N353" s="1115">
        <v>5795</v>
      </c>
      <c r="O353" s="1115">
        <v>0</v>
      </c>
      <c r="P353" s="1115">
        <v>5795</v>
      </c>
      <c r="Q353" s="1115">
        <v>305</v>
      </c>
      <c r="R353" s="1115">
        <v>0</v>
      </c>
      <c r="S353" s="1115">
        <v>305</v>
      </c>
      <c r="T353" s="1115">
        <v>5116</v>
      </c>
      <c r="U353" s="1115">
        <v>4911</v>
      </c>
      <c r="V353" s="776">
        <f>VLOOKUP($B353,QD!$B$9:$L$316,10,0)</f>
        <v>2456</v>
      </c>
      <c r="W353" s="776">
        <v>2455.5</v>
      </c>
      <c r="X353" s="776">
        <v>50</v>
      </c>
      <c r="Y353" s="1116"/>
      <c r="Z353" s="776">
        <f t="shared" si="181"/>
        <v>2456</v>
      </c>
      <c r="AA353" s="775">
        <f t="shared" si="228"/>
        <v>2761</v>
      </c>
      <c r="AB353" s="775">
        <f t="shared" si="229"/>
        <v>2456</v>
      </c>
      <c r="AC353" s="775">
        <f t="shared" si="230"/>
        <v>2761</v>
      </c>
      <c r="AD353" s="775">
        <f t="shared" si="231"/>
        <v>5116</v>
      </c>
      <c r="AE353" s="775">
        <f t="shared" si="232"/>
        <v>2455</v>
      </c>
      <c r="AF353" s="1116"/>
      <c r="AG353" s="776"/>
      <c r="AH353" s="1668"/>
      <c r="AI353" s="745">
        <f t="shared" si="233"/>
        <v>0.5</v>
      </c>
      <c r="AK353" s="747" t="s">
        <v>1966</v>
      </c>
      <c r="AL353" s="747" t="s">
        <v>2061</v>
      </c>
      <c r="AM353" s="746" t="s">
        <v>2081</v>
      </c>
      <c r="AN353" s="745" t="s">
        <v>2087</v>
      </c>
    </row>
    <row r="354" spans="1:40" ht="38.25">
      <c r="A354" s="777">
        <v>35</v>
      </c>
      <c r="B354" s="1215" t="s">
        <v>557</v>
      </c>
      <c r="C354" s="1215"/>
      <c r="D354" s="1218"/>
      <c r="E354" s="1224"/>
      <c r="F354" s="1112"/>
      <c r="G354" s="185" t="s">
        <v>10</v>
      </c>
      <c r="H354" s="358">
        <v>2017</v>
      </c>
      <c r="I354" s="358"/>
      <c r="J354" s="1216">
        <v>2019</v>
      </c>
      <c r="K354" s="358"/>
      <c r="L354" s="358"/>
      <c r="M354" s="185"/>
      <c r="N354" s="1115">
        <v>4060</v>
      </c>
      <c r="O354" s="1115"/>
      <c r="P354" s="1115">
        <v>1198</v>
      </c>
      <c r="Q354" s="1115">
        <v>0</v>
      </c>
      <c r="R354" s="1115">
        <v>0</v>
      </c>
      <c r="S354" s="1115">
        <v>0</v>
      </c>
      <c r="T354" s="1115">
        <v>1198</v>
      </c>
      <c r="U354" s="1115">
        <v>1198</v>
      </c>
      <c r="V354" s="776">
        <f>VLOOKUP($B354,QD!$B$9:$L$316,10,0)</f>
        <v>1198</v>
      </c>
      <c r="W354" s="776">
        <v>1198</v>
      </c>
      <c r="X354" s="776">
        <v>100</v>
      </c>
      <c r="Y354" s="1116"/>
      <c r="Z354" s="776">
        <f t="shared" si="181"/>
        <v>1198</v>
      </c>
      <c r="AA354" s="775">
        <f t="shared" si="228"/>
        <v>1198</v>
      </c>
      <c r="AB354" s="775">
        <f t="shared" si="229"/>
        <v>1198</v>
      </c>
      <c r="AC354" s="775">
        <f t="shared" si="230"/>
        <v>1198</v>
      </c>
      <c r="AD354" s="775">
        <f t="shared" si="231"/>
        <v>1198</v>
      </c>
      <c r="AE354" s="775">
        <f t="shared" si="232"/>
        <v>0</v>
      </c>
      <c r="AF354" s="1116"/>
      <c r="AG354" s="776"/>
      <c r="AH354" s="1668" t="s">
        <v>635</v>
      </c>
      <c r="AI354" s="745">
        <f t="shared" si="233"/>
        <v>1</v>
      </c>
      <c r="AK354" s="747" t="s">
        <v>2057</v>
      </c>
      <c r="AL354" s="747" t="s">
        <v>164</v>
      </c>
      <c r="AM354" s="746" t="s">
        <v>2080</v>
      </c>
    </row>
    <row r="355" spans="1:40" ht="25.5">
      <c r="A355" s="777">
        <v>36</v>
      </c>
      <c r="B355" s="1242" t="s">
        <v>162</v>
      </c>
      <c r="C355" s="1242"/>
      <c r="D355" s="1242"/>
      <c r="E355" s="1242"/>
      <c r="F355" s="1242"/>
      <c r="G355" s="312" t="s">
        <v>49</v>
      </c>
      <c r="H355" s="1243">
        <v>2017</v>
      </c>
      <c r="I355" s="1243"/>
      <c r="J355" s="1241">
        <v>2019</v>
      </c>
      <c r="K355" s="1240"/>
      <c r="L355" s="1240"/>
      <c r="M355" s="312" t="s">
        <v>494</v>
      </c>
      <c r="N355" s="796">
        <v>12177</v>
      </c>
      <c r="O355" s="796"/>
      <c r="P355" s="796">
        <v>10924</v>
      </c>
      <c r="Q355" s="957">
        <v>4000</v>
      </c>
      <c r="R355" s="957"/>
      <c r="S355" s="957">
        <v>4000</v>
      </c>
      <c r="T355" s="957">
        <v>7832</v>
      </c>
      <c r="U355" s="957">
        <v>5832</v>
      </c>
      <c r="V355" s="776">
        <f>VLOOKUP($B355,QD!$B$9:$L$316,10,0)</f>
        <v>2916</v>
      </c>
      <c r="W355" s="776">
        <v>2916</v>
      </c>
      <c r="X355" s="776">
        <v>50</v>
      </c>
      <c r="Y355" s="1116">
        <v>1000</v>
      </c>
      <c r="Z355" s="776">
        <f t="shared" si="181"/>
        <v>3916</v>
      </c>
      <c r="AA355" s="775">
        <f t="shared" si="228"/>
        <v>7916</v>
      </c>
      <c r="AB355" s="775">
        <f t="shared" si="229"/>
        <v>3916</v>
      </c>
      <c r="AC355" s="775">
        <f t="shared" si="230"/>
        <v>7916</v>
      </c>
      <c r="AD355" s="775">
        <f t="shared" si="231"/>
        <v>7832</v>
      </c>
      <c r="AE355" s="775">
        <f t="shared" si="232"/>
        <v>1916</v>
      </c>
      <c r="AF355" s="1116"/>
      <c r="AG355" s="776"/>
      <c r="AH355" s="1671"/>
      <c r="AJ355" s="1677" t="s">
        <v>1930</v>
      </c>
      <c r="AK355" s="747" t="s">
        <v>2004</v>
      </c>
      <c r="AL355" s="747" t="s">
        <v>2061</v>
      </c>
      <c r="AM355" s="746" t="s">
        <v>2080</v>
      </c>
      <c r="AN355" s="745" t="s">
        <v>2087</v>
      </c>
    </row>
    <row r="356" spans="1:40" s="1514" customFormat="1" ht="51">
      <c r="A356" s="777">
        <v>37</v>
      </c>
      <c r="B356" s="1242" t="s">
        <v>161</v>
      </c>
      <c r="C356" s="1242"/>
      <c r="D356" s="1242"/>
      <c r="E356" s="1242"/>
      <c r="F356" s="1242"/>
      <c r="G356" s="312" t="s">
        <v>9</v>
      </c>
      <c r="H356" s="1243">
        <v>2017</v>
      </c>
      <c r="I356" s="1243"/>
      <c r="J356" s="1244">
        <v>2019</v>
      </c>
      <c r="K356" s="1245"/>
      <c r="L356" s="1245"/>
      <c r="M356" s="312" t="s">
        <v>457</v>
      </c>
      <c r="N356" s="796">
        <v>12203</v>
      </c>
      <c r="O356" s="796"/>
      <c r="P356" s="796">
        <v>12203</v>
      </c>
      <c r="Q356" s="957">
        <f>1764+1000</f>
        <v>2764</v>
      </c>
      <c r="R356" s="957"/>
      <c r="S356" s="957">
        <f>Q356</f>
        <v>2764</v>
      </c>
      <c r="T356" s="957">
        <v>11160</v>
      </c>
      <c r="U356" s="957">
        <f>10160-1764</f>
        <v>8396</v>
      </c>
      <c r="V356" s="776">
        <f>VLOOKUP($B356,QD!$B$9:$L$316,10,0)</f>
        <v>4198</v>
      </c>
      <c r="W356" s="776">
        <v>4198</v>
      </c>
      <c r="X356" s="776">
        <v>50</v>
      </c>
      <c r="Y356" s="957"/>
      <c r="Z356" s="776">
        <f t="shared" si="181"/>
        <v>4198</v>
      </c>
      <c r="AA356" s="775">
        <f t="shared" si="228"/>
        <v>6962</v>
      </c>
      <c r="AB356" s="775">
        <f t="shared" si="229"/>
        <v>4198</v>
      </c>
      <c r="AC356" s="775">
        <f t="shared" si="230"/>
        <v>6962</v>
      </c>
      <c r="AD356" s="775">
        <f t="shared" si="231"/>
        <v>11160</v>
      </c>
      <c r="AE356" s="775">
        <f t="shared" si="232"/>
        <v>4198</v>
      </c>
      <c r="AF356" s="957"/>
      <c r="AG356" s="782"/>
      <c r="AH356" s="1265" t="s">
        <v>695</v>
      </c>
      <c r="AI356" s="1678">
        <f t="shared" si="233"/>
        <v>0.5</v>
      </c>
      <c r="AK356" s="1515" t="s">
        <v>1986</v>
      </c>
      <c r="AL356" s="1515" t="s">
        <v>2061</v>
      </c>
      <c r="AM356" s="1516"/>
    </row>
    <row r="357" spans="1:40" ht="25.5">
      <c r="A357" s="777">
        <v>38</v>
      </c>
      <c r="B357" s="956" t="s">
        <v>498</v>
      </c>
      <c r="C357" s="956"/>
      <c r="D357" s="956"/>
      <c r="E357" s="956"/>
      <c r="F357" s="956"/>
      <c r="G357" s="423" t="s">
        <v>10</v>
      </c>
      <c r="H357" s="1240">
        <v>2017</v>
      </c>
      <c r="I357" s="1240"/>
      <c r="J357" s="1241">
        <v>2019</v>
      </c>
      <c r="K357" s="1240"/>
      <c r="L357" s="1240"/>
      <c r="M357" s="312" t="s">
        <v>499</v>
      </c>
      <c r="N357" s="796">
        <v>6995</v>
      </c>
      <c r="O357" s="796"/>
      <c r="P357" s="796">
        <v>3000</v>
      </c>
      <c r="Q357" s="796">
        <v>500</v>
      </c>
      <c r="R357" s="796"/>
      <c r="S357" s="796">
        <v>500</v>
      </c>
      <c r="T357" s="796">
        <v>2700</v>
      </c>
      <c r="U357" s="796">
        <v>2200</v>
      </c>
      <c r="V357" s="776">
        <f>VLOOKUP($B357,QD!$B$9:$L$316,10,0)</f>
        <v>2200</v>
      </c>
      <c r="W357" s="776">
        <v>2200</v>
      </c>
      <c r="X357" s="776">
        <v>100</v>
      </c>
      <c r="Y357" s="1116"/>
      <c r="Z357" s="776">
        <f t="shared" si="181"/>
        <v>2200</v>
      </c>
      <c r="AA357" s="775">
        <f t="shared" si="228"/>
        <v>2700</v>
      </c>
      <c r="AB357" s="775">
        <f t="shared" si="229"/>
        <v>2200</v>
      </c>
      <c r="AC357" s="775">
        <f t="shared" si="230"/>
        <v>2700</v>
      </c>
      <c r="AD357" s="775">
        <f t="shared" si="231"/>
        <v>2700</v>
      </c>
      <c r="AE357" s="775">
        <f t="shared" si="232"/>
        <v>0</v>
      </c>
      <c r="AF357" s="1116"/>
      <c r="AG357" s="776"/>
      <c r="AH357" s="1325"/>
      <c r="AI357" s="745">
        <f t="shared" si="233"/>
        <v>1</v>
      </c>
      <c r="AK357" s="747"/>
      <c r="AL357" s="747"/>
      <c r="AM357" s="746"/>
    </row>
    <row r="358" spans="1:40" ht="25.5">
      <c r="A358" s="777">
        <v>39</v>
      </c>
      <c r="B358" s="790" t="s">
        <v>500</v>
      </c>
      <c r="C358" s="790"/>
      <c r="D358" s="790"/>
      <c r="E358" s="790"/>
      <c r="F358" s="790"/>
      <c r="G358" s="185" t="s">
        <v>46</v>
      </c>
      <c r="H358" s="1266">
        <v>2017</v>
      </c>
      <c r="I358" s="1266"/>
      <c r="J358" s="1267">
        <v>2019</v>
      </c>
      <c r="K358" s="1266"/>
      <c r="L358" s="1266"/>
      <c r="M358" s="1268" t="s">
        <v>516</v>
      </c>
      <c r="N358" s="796">
        <v>3000</v>
      </c>
      <c r="O358" s="796"/>
      <c r="P358" s="957">
        <f>N358</f>
        <v>3000</v>
      </c>
      <c r="Q358" s="796">
        <v>500</v>
      </c>
      <c r="R358" s="796"/>
      <c r="S358" s="796">
        <v>500</v>
      </c>
      <c r="T358" s="796">
        <v>2700</v>
      </c>
      <c r="U358" s="796">
        <v>2200</v>
      </c>
      <c r="V358" s="776">
        <f>VLOOKUP($B358,QD!$B$9:$L$316,10,0)</f>
        <v>2200</v>
      </c>
      <c r="W358" s="776">
        <v>2200</v>
      </c>
      <c r="X358" s="776">
        <v>100</v>
      </c>
      <c r="Y358" s="1116"/>
      <c r="Z358" s="776">
        <f t="shared" si="181"/>
        <v>2200</v>
      </c>
      <c r="AA358" s="775">
        <f t="shared" si="228"/>
        <v>2700</v>
      </c>
      <c r="AB358" s="775">
        <f t="shared" si="229"/>
        <v>2200</v>
      </c>
      <c r="AC358" s="775">
        <f t="shared" si="230"/>
        <v>2700</v>
      </c>
      <c r="AD358" s="775">
        <f t="shared" si="231"/>
        <v>2700</v>
      </c>
      <c r="AE358" s="775">
        <f t="shared" si="232"/>
        <v>0</v>
      </c>
      <c r="AF358" s="1116"/>
      <c r="AG358" s="776"/>
      <c r="AH358" s="1679"/>
      <c r="AI358" s="745">
        <f t="shared" si="233"/>
        <v>1</v>
      </c>
      <c r="AK358" s="747" t="s">
        <v>2031</v>
      </c>
      <c r="AL358" s="747"/>
      <c r="AM358" s="746"/>
    </row>
    <row r="359" spans="1:40" ht="25.5">
      <c r="A359" s="777">
        <v>40</v>
      </c>
      <c r="B359" s="1253" t="s">
        <v>156</v>
      </c>
      <c r="C359" s="1253"/>
      <c r="D359" s="1253"/>
      <c r="E359" s="1253"/>
      <c r="F359" s="1253"/>
      <c r="G359" s="1254" t="s">
        <v>9</v>
      </c>
      <c r="H359" s="1269">
        <v>2017</v>
      </c>
      <c r="I359" s="1269"/>
      <c r="J359" s="1270">
        <v>2019</v>
      </c>
      <c r="K359" s="1271"/>
      <c r="L359" s="1271"/>
      <c r="M359" s="1272" t="s">
        <v>157</v>
      </c>
      <c r="N359" s="1273">
        <v>3492</v>
      </c>
      <c r="O359" s="1273"/>
      <c r="P359" s="1273">
        <v>3492</v>
      </c>
      <c r="Q359" s="796">
        <v>500</v>
      </c>
      <c r="R359" s="796"/>
      <c r="S359" s="796">
        <v>500</v>
      </c>
      <c r="T359" s="796">
        <v>3143</v>
      </c>
      <c r="U359" s="796">
        <v>2643</v>
      </c>
      <c r="V359" s="776">
        <f>VLOOKUP($B359,QD!$B$9:$L$316,10,0)</f>
        <v>1321</v>
      </c>
      <c r="W359" s="776">
        <v>1321.5</v>
      </c>
      <c r="X359" s="776">
        <v>50</v>
      </c>
      <c r="Y359" s="1116">
        <v>1322</v>
      </c>
      <c r="Z359" s="776">
        <f t="shared" si="181"/>
        <v>2643</v>
      </c>
      <c r="AA359" s="775">
        <f t="shared" si="228"/>
        <v>3143</v>
      </c>
      <c r="AB359" s="775">
        <f t="shared" si="229"/>
        <v>2643</v>
      </c>
      <c r="AC359" s="775">
        <f t="shared" si="230"/>
        <v>3143</v>
      </c>
      <c r="AD359" s="775">
        <f t="shared" si="231"/>
        <v>3143</v>
      </c>
      <c r="AE359" s="775">
        <f t="shared" si="232"/>
        <v>0</v>
      </c>
      <c r="AF359" s="1116"/>
      <c r="AG359" s="776"/>
      <c r="AH359" s="1325"/>
      <c r="AI359" s="745">
        <f t="shared" si="233"/>
        <v>0.5</v>
      </c>
      <c r="AK359" s="747"/>
      <c r="AL359" s="747"/>
      <c r="AM359" s="746"/>
    </row>
    <row r="360" spans="1:40" ht="25.5">
      <c r="A360" s="777">
        <v>41</v>
      </c>
      <c r="B360" s="956" t="s">
        <v>501</v>
      </c>
      <c r="C360" s="956"/>
      <c r="D360" s="956"/>
      <c r="E360" s="956"/>
      <c r="F360" s="956"/>
      <c r="G360" s="423" t="s">
        <v>9</v>
      </c>
      <c r="H360" s="1240">
        <v>2017</v>
      </c>
      <c r="I360" s="1240"/>
      <c r="J360" s="1241">
        <v>2019</v>
      </c>
      <c r="K360" s="1240"/>
      <c r="L360" s="1240"/>
      <c r="M360" s="410" t="s">
        <v>502</v>
      </c>
      <c r="N360" s="796">
        <v>3704</v>
      </c>
      <c r="O360" s="796"/>
      <c r="P360" s="796">
        <v>3704</v>
      </c>
      <c r="Q360" s="796">
        <v>500</v>
      </c>
      <c r="R360" s="796"/>
      <c r="S360" s="796">
        <v>500</v>
      </c>
      <c r="T360" s="796">
        <v>3333</v>
      </c>
      <c r="U360" s="796">
        <v>2833</v>
      </c>
      <c r="V360" s="776">
        <f>VLOOKUP($B360,QD!$B$9:$L$316,10,0)</f>
        <v>1416</v>
      </c>
      <c r="W360" s="776">
        <v>1416.5</v>
      </c>
      <c r="X360" s="776">
        <v>50</v>
      </c>
      <c r="Y360" s="1116">
        <v>1417</v>
      </c>
      <c r="Z360" s="776">
        <f t="shared" si="181"/>
        <v>2833</v>
      </c>
      <c r="AA360" s="775">
        <f t="shared" si="228"/>
        <v>3333</v>
      </c>
      <c r="AB360" s="775">
        <f t="shared" si="229"/>
        <v>2833</v>
      </c>
      <c r="AC360" s="775">
        <f t="shared" si="230"/>
        <v>3333</v>
      </c>
      <c r="AD360" s="775">
        <f t="shared" si="231"/>
        <v>3333</v>
      </c>
      <c r="AE360" s="775">
        <f t="shared" si="232"/>
        <v>0</v>
      </c>
      <c r="AF360" s="1116"/>
      <c r="AG360" s="776"/>
      <c r="AH360" s="1325"/>
      <c r="AI360" s="745">
        <f t="shared" si="233"/>
        <v>0.5</v>
      </c>
      <c r="AK360" s="747"/>
      <c r="AL360" s="747"/>
      <c r="AM360" s="746"/>
    </row>
    <row r="361" spans="1:40" ht="25.5">
      <c r="A361" s="777">
        <v>42</v>
      </c>
      <c r="B361" s="1249" t="s">
        <v>994</v>
      </c>
      <c r="C361" s="1249"/>
      <c r="D361" s="1249"/>
      <c r="E361" s="1249"/>
      <c r="F361" s="1249"/>
      <c r="G361" s="185" t="s">
        <v>49</v>
      </c>
      <c r="H361" s="1274">
        <v>2017</v>
      </c>
      <c r="I361" s="1274"/>
      <c r="J361" s="1275">
        <v>2019</v>
      </c>
      <c r="K361" s="1276"/>
      <c r="L361" s="1276"/>
      <c r="M361" s="420" t="s">
        <v>158</v>
      </c>
      <c r="N361" s="957">
        <v>4178</v>
      </c>
      <c r="O361" s="957"/>
      <c r="P361" s="957">
        <v>4178</v>
      </c>
      <c r="Q361" s="796">
        <v>500</v>
      </c>
      <c r="R361" s="796"/>
      <c r="S361" s="796">
        <v>500</v>
      </c>
      <c r="T361" s="796">
        <v>3760</v>
      </c>
      <c r="U361" s="796">
        <v>3260</v>
      </c>
      <c r="V361" s="776">
        <f>VLOOKUP($B361,QD!$B$9:$L$316,10,0)</f>
        <v>1630</v>
      </c>
      <c r="W361" s="776">
        <v>1630</v>
      </c>
      <c r="X361" s="776">
        <v>50</v>
      </c>
      <c r="Y361" s="1116">
        <v>1630</v>
      </c>
      <c r="Z361" s="776">
        <f t="shared" si="181"/>
        <v>3260</v>
      </c>
      <c r="AA361" s="775">
        <f t="shared" si="228"/>
        <v>3760</v>
      </c>
      <c r="AB361" s="775">
        <f t="shared" si="229"/>
        <v>3260</v>
      </c>
      <c r="AC361" s="775">
        <f t="shared" si="230"/>
        <v>3760</v>
      </c>
      <c r="AD361" s="775">
        <f t="shared" si="231"/>
        <v>3760</v>
      </c>
      <c r="AE361" s="775">
        <f t="shared" si="232"/>
        <v>0</v>
      </c>
      <c r="AF361" s="1116"/>
      <c r="AG361" s="776"/>
      <c r="AH361" s="1325"/>
      <c r="AI361" s="745">
        <f t="shared" si="233"/>
        <v>0.5</v>
      </c>
      <c r="AK361" s="747"/>
      <c r="AL361" s="747"/>
      <c r="AM361" s="746"/>
    </row>
    <row r="362" spans="1:40" ht="25.5">
      <c r="A362" s="777">
        <v>43</v>
      </c>
      <c r="B362" s="1277" t="s">
        <v>503</v>
      </c>
      <c r="C362" s="1277"/>
      <c r="D362" s="1277"/>
      <c r="E362" s="1277"/>
      <c r="F362" s="1277"/>
      <c r="G362" s="185" t="s">
        <v>504</v>
      </c>
      <c r="H362" s="1274">
        <v>2017</v>
      </c>
      <c r="I362" s="1274"/>
      <c r="J362" s="1278">
        <v>2019</v>
      </c>
      <c r="K362" s="1279"/>
      <c r="L362" s="1279"/>
      <c r="M362" s="312" t="s">
        <v>301</v>
      </c>
      <c r="N362" s="796">
        <v>4500</v>
      </c>
      <c r="O362" s="796"/>
      <c r="P362" s="796">
        <f>N362</f>
        <v>4500</v>
      </c>
      <c r="Q362" s="796">
        <v>500</v>
      </c>
      <c r="R362" s="796"/>
      <c r="S362" s="796">
        <v>500</v>
      </c>
      <c r="T362" s="796">
        <v>4050</v>
      </c>
      <c r="U362" s="796">
        <v>3550</v>
      </c>
      <c r="V362" s="776">
        <f>VLOOKUP($B362,QD!$B$9:$L$316,10,0)</f>
        <v>1775</v>
      </c>
      <c r="W362" s="776">
        <v>1775</v>
      </c>
      <c r="X362" s="776">
        <v>50</v>
      </c>
      <c r="Y362" s="1116">
        <v>1775</v>
      </c>
      <c r="Z362" s="776">
        <f t="shared" si="181"/>
        <v>3550</v>
      </c>
      <c r="AA362" s="775">
        <f t="shared" si="228"/>
        <v>4050</v>
      </c>
      <c r="AB362" s="775">
        <f t="shared" si="229"/>
        <v>3550</v>
      </c>
      <c r="AC362" s="775">
        <f t="shared" si="230"/>
        <v>4050</v>
      </c>
      <c r="AD362" s="775">
        <f t="shared" si="231"/>
        <v>4050</v>
      </c>
      <c r="AE362" s="775">
        <f t="shared" si="232"/>
        <v>0</v>
      </c>
      <c r="AF362" s="1116"/>
      <c r="AG362" s="776"/>
      <c r="AH362" s="1671"/>
      <c r="AI362" s="745">
        <f t="shared" si="233"/>
        <v>0.5</v>
      </c>
      <c r="AK362" s="747"/>
      <c r="AL362" s="747"/>
      <c r="AM362" s="746"/>
    </row>
    <row r="363" spans="1:40" ht="25.5">
      <c r="A363" s="777">
        <v>44</v>
      </c>
      <c r="B363" s="1242" t="s">
        <v>505</v>
      </c>
      <c r="C363" s="1242"/>
      <c r="D363" s="1242"/>
      <c r="E363" s="1242"/>
      <c r="F363" s="1242"/>
      <c r="G363" s="1280" t="s">
        <v>44</v>
      </c>
      <c r="H363" s="1266">
        <v>2017</v>
      </c>
      <c r="I363" s="1266"/>
      <c r="J363" s="1267">
        <v>2019</v>
      </c>
      <c r="K363" s="1266"/>
      <c r="L363" s="1266"/>
      <c r="M363" s="423" t="s">
        <v>517</v>
      </c>
      <c r="N363" s="796">
        <v>6000</v>
      </c>
      <c r="O363" s="796"/>
      <c r="P363" s="796">
        <f>N363</f>
        <v>6000</v>
      </c>
      <c r="Q363" s="796">
        <v>500</v>
      </c>
      <c r="R363" s="796"/>
      <c r="S363" s="796">
        <v>500</v>
      </c>
      <c r="T363" s="796">
        <v>5400</v>
      </c>
      <c r="U363" s="796">
        <v>4900</v>
      </c>
      <c r="V363" s="776">
        <f>VLOOKUP($B363,QD!$B$9:$L$316,10,0)</f>
        <v>2450</v>
      </c>
      <c r="W363" s="776">
        <v>2450</v>
      </c>
      <c r="X363" s="776">
        <v>50</v>
      </c>
      <c r="Y363" s="1116">
        <v>2450</v>
      </c>
      <c r="Z363" s="776">
        <f t="shared" si="181"/>
        <v>4900</v>
      </c>
      <c r="AA363" s="775">
        <f t="shared" si="228"/>
        <v>5400</v>
      </c>
      <c r="AB363" s="775">
        <f t="shared" si="229"/>
        <v>4900</v>
      </c>
      <c r="AC363" s="775">
        <f t="shared" si="230"/>
        <v>5400</v>
      </c>
      <c r="AD363" s="775">
        <f t="shared" si="231"/>
        <v>5400</v>
      </c>
      <c r="AE363" s="775">
        <f t="shared" si="232"/>
        <v>0</v>
      </c>
      <c r="AF363" s="1116"/>
      <c r="AG363" s="776"/>
      <c r="AH363" s="1680"/>
      <c r="AI363" s="745">
        <f t="shared" si="233"/>
        <v>0.5</v>
      </c>
      <c r="AK363" s="747"/>
      <c r="AL363" s="747"/>
      <c r="AM363" s="746"/>
    </row>
    <row r="364" spans="1:40" ht="25.5">
      <c r="A364" s="777">
        <v>45</v>
      </c>
      <c r="B364" s="1281" t="s">
        <v>506</v>
      </c>
      <c r="C364" s="1281"/>
      <c r="D364" s="1281"/>
      <c r="E364" s="1281"/>
      <c r="F364" s="1281"/>
      <c r="G364" s="1282" t="s">
        <v>49</v>
      </c>
      <c r="H364" s="1266">
        <v>2017</v>
      </c>
      <c r="I364" s="1266"/>
      <c r="J364" s="1267">
        <v>2019</v>
      </c>
      <c r="K364" s="1266"/>
      <c r="L364" s="1266"/>
      <c r="M364" s="423" t="s">
        <v>518</v>
      </c>
      <c r="N364" s="1283">
        <v>6100</v>
      </c>
      <c r="O364" s="1283"/>
      <c r="P364" s="957">
        <f>N364</f>
        <v>6100</v>
      </c>
      <c r="Q364" s="796">
        <v>500</v>
      </c>
      <c r="R364" s="796"/>
      <c r="S364" s="796">
        <v>500</v>
      </c>
      <c r="T364" s="796">
        <v>5490</v>
      </c>
      <c r="U364" s="796">
        <v>4990</v>
      </c>
      <c r="V364" s="776">
        <f>VLOOKUP($B364,QD!$B$9:$L$316,10,0)</f>
        <v>2495</v>
      </c>
      <c r="W364" s="776">
        <v>2495</v>
      </c>
      <c r="X364" s="776">
        <v>50</v>
      </c>
      <c r="Y364" s="1116"/>
      <c r="Z364" s="776">
        <f t="shared" si="181"/>
        <v>2495</v>
      </c>
      <c r="AA364" s="775">
        <f t="shared" si="228"/>
        <v>2995</v>
      </c>
      <c r="AB364" s="775">
        <f t="shared" si="229"/>
        <v>2495</v>
      </c>
      <c r="AC364" s="775">
        <f t="shared" si="230"/>
        <v>2995</v>
      </c>
      <c r="AD364" s="775">
        <f t="shared" si="231"/>
        <v>5490</v>
      </c>
      <c r="AE364" s="775">
        <f t="shared" si="232"/>
        <v>2495</v>
      </c>
      <c r="AF364" s="1116"/>
      <c r="AG364" s="776"/>
      <c r="AH364" s="1679"/>
      <c r="AI364" s="745">
        <f t="shared" si="233"/>
        <v>0.5</v>
      </c>
      <c r="AK364" s="747" t="s">
        <v>2039</v>
      </c>
      <c r="AL364" s="747" t="s">
        <v>2061</v>
      </c>
      <c r="AM364" s="746"/>
      <c r="AN364" s="745" t="s">
        <v>2087</v>
      </c>
    </row>
    <row r="365" spans="1:40" ht="38.25">
      <c r="A365" s="777">
        <v>46</v>
      </c>
      <c r="B365" s="1242" t="s">
        <v>507</v>
      </c>
      <c r="C365" s="1242"/>
      <c r="D365" s="1242"/>
      <c r="E365" s="1242"/>
      <c r="F365" s="1242"/>
      <c r="G365" s="284" t="s">
        <v>10</v>
      </c>
      <c r="H365" s="1274">
        <v>2017</v>
      </c>
      <c r="I365" s="1274"/>
      <c r="J365" s="1284">
        <v>2019</v>
      </c>
      <c r="K365" s="1274"/>
      <c r="L365" s="1274"/>
      <c r="M365" s="312" t="s">
        <v>508</v>
      </c>
      <c r="N365" s="796">
        <v>12178</v>
      </c>
      <c r="O365" s="796"/>
      <c r="P365" s="796">
        <v>8873</v>
      </c>
      <c r="Q365" s="957">
        <v>1000</v>
      </c>
      <c r="R365" s="957"/>
      <c r="S365" s="957">
        <v>1000</v>
      </c>
      <c r="T365" s="957">
        <v>7986</v>
      </c>
      <c r="U365" s="957">
        <v>6986</v>
      </c>
      <c r="V365" s="776">
        <f>VLOOKUP($B365,QD!$B$9:$L$316,10,0)</f>
        <v>3493</v>
      </c>
      <c r="W365" s="776">
        <v>3493</v>
      </c>
      <c r="X365" s="776">
        <v>50</v>
      </c>
      <c r="Y365" s="1116"/>
      <c r="Z365" s="776">
        <f t="shared" si="181"/>
        <v>3493</v>
      </c>
      <c r="AA365" s="775">
        <f t="shared" si="228"/>
        <v>4493</v>
      </c>
      <c r="AB365" s="775">
        <f t="shared" si="229"/>
        <v>3493</v>
      </c>
      <c r="AC365" s="775">
        <f t="shared" si="230"/>
        <v>4493</v>
      </c>
      <c r="AD365" s="775">
        <f t="shared" si="231"/>
        <v>7986</v>
      </c>
      <c r="AE365" s="775">
        <f t="shared" si="232"/>
        <v>3493</v>
      </c>
      <c r="AF365" s="1116"/>
      <c r="AG365" s="776"/>
      <c r="AH365" s="1325"/>
      <c r="AI365" s="745">
        <f t="shared" si="233"/>
        <v>0.5</v>
      </c>
      <c r="AK365" s="747" t="s">
        <v>1979</v>
      </c>
      <c r="AL365" s="747" t="s">
        <v>2061</v>
      </c>
      <c r="AM365" s="746"/>
      <c r="AN365" s="745" t="s">
        <v>2087</v>
      </c>
    </row>
    <row r="366" spans="1:40" ht="25.5">
      <c r="A366" s="777">
        <v>47</v>
      </c>
      <c r="B366" s="790" t="s">
        <v>509</v>
      </c>
      <c r="C366" s="790"/>
      <c r="D366" s="790"/>
      <c r="E366" s="790"/>
      <c r="F366" s="790"/>
      <c r="G366" s="185" t="s">
        <v>10</v>
      </c>
      <c r="H366" s="1266">
        <v>2017</v>
      </c>
      <c r="I366" s="1266"/>
      <c r="J366" s="1267">
        <v>2019</v>
      </c>
      <c r="K366" s="1266"/>
      <c r="L366" s="1266"/>
      <c r="M366" s="312" t="s">
        <v>510</v>
      </c>
      <c r="N366" s="796">
        <v>8920</v>
      </c>
      <c r="O366" s="796"/>
      <c r="P366" s="957">
        <f>N366</f>
        <v>8920</v>
      </c>
      <c r="Q366" s="796">
        <v>1000</v>
      </c>
      <c r="R366" s="796"/>
      <c r="S366" s="796">
        <v>1000</v>
      </c>
      <c r="T366" s="796">
        <v>8028</v>
      </c>
      <c r="U366" s="796">
        <v>7028</v>
      </c>
      <c r="V366" s="776">
        <f>VLOOKUP($B366,QD!$B$9:$L$316,10,0)</f>
        <v>3514</v>
      </c>
      <c r="W366" s="776">
        <v>3514</v>
      </c>
      <c r="X366" s="776">
        <v>50</v>
      </c>
      <c r="Y366" s="1116"/>
      <c r="Z366" s="776">
        <f t="shared" si="181"/>
        <v>3514</v>
      </c>
      <c r="AA366" s="775">
        <f t="shared" si="228"/>
        <v>4514</v>
      </c>
      <c r="AB366" s="775">
        <f t="shared" si="229"/>
        <v>3514</v>
      </c>
      <c r="AC366" s="775">
        <f t="shared" si="230"/>
        <v>4514</v>
      </c>
      <c r="AD366" s="775">
        <f t="shared" si="231"/>
        <v>8028</v>
      </c>
      <c r="AE366" s="775">
        <f t="shared" si="232"/>
        <v>3514</v>
      </c>
      <c r="AF366" s="1116"/>
      <c r="AG366" s="776"/>
      <c r="AH366" s="1325"/>
      <c r="AI366" s="745">
        <f t="shared" si="233"/>
        <v>0.5</v>
      </c>
      <c r="AK366" s="747" t="s">
        <v>2057</v>
      </c>
      <c r="AL366" s="747" t="s">
        <v>41</v>
      </c>
      <c r="AM366" s="746" t="s">
        <v>2080</v>
      </c>
      <c r="AN366" s="745" t="s">
        <v>2087</v>
      </c>
    </row>
    <row r="367" spans="1:40" ht="25.5">
      <c r="A367" s="777">
        <v>48</v>
      </c>
      <c r="B367" s="790" t="s">
        <v>1002</v>
      </c>
      <c r="C367" s="1242"/>
      <c r="D367" s="1242"/>
      <c r="E367" s="1242"/>
      <c r="F367" s="1242"/>
      <c r="G367" s="312" t="s">
        <v>511</v>
      </c>
      <c r="H367" s="1243">
        <v>2017</v>
      </c>
      <c r="I367" s="1243"/>
      <c r="J367" s="1244">
        <v>2019</v>
      </c>
      <c r="K367" s="1245"/>
      <c r="L367" s="1245"/>
      <c r="M367" s="312" t="s">
        <v>512</v>
      </c>
      <c r="N367" s="796">
        <v>14914</v>
      </c>
      <c r="O367" s="796"/>
      <c r="P367" s="796">
        <v>11380</v>
      </c>
      <c r="Q367" s="957">
        <v>1000</v>
      </c>
      <c r="R367" s="957"/>
      <c r="S367" s="957">
        <v>1000</v>
      </c>
      <c r="T367" s="957">
        <v>10242</v>
      </c>
      <c r="U367" s="957">
        <v>9242</v>
      </c>
      <c r="V367" s="776">
        <f>VLOOKUP($B367,QD!$B$9:$L$316,10,0)</f>
        <v>4621</v>
      </c>
      <c r="W367" s="776">
        <v>4621</v>
      </c>
      <c r="X367" s="776">
        <v>50</v>
      </c>
      <c r="Y367" s="1116">
        <f>1500+3579</f>
        <v>5079</v>
      </c>
      <c r="Z367" s="776">
        <f t="shared" si="181"/>
        <v>9700</v>
      </c>
      <c r="AA367" s="775">
        <f t="shared" si="228"/>
        <v>10700</v>
      </c>
      <c r="AB367" s="775">
        <f t="shared" si="229"/>
        <v>9700</v>
      </c>
      <c r="AC367" s="775">
        <f t="shared" si="230"/>
        <v>10700</v>
      </c>
      <c r="AD367" s="775">
        <f t="shared" si="231"/>
        <v>10242</v>
      </c>
      <c r="AE367" s="968">
        <f t="shared" si="232"/>
        <v>-458</v>
      </c>
      <c r="AF367" s="1116"/>
      <c r="AG367" s="776"/>
      <c r="AH367" s="1681" t="s">
        <v>2085</v>
      </c>
      <c r="AJ367" s="1602" t="s">
        <v>1929</v>
      </c>
      <c r="AK367" s="747" t="s">
        <v>2058</v>
      </c>
      <c r="AL367" s="747" t="s">
        <v>2061</v>
      </c>
      <c r="AM367" s="746" t="s">
        <v>2081</v>
      </c>
      <c r="AN367" s="745" t="s">
        <v>2087</v>
      </c>
    </row>
    <row r="368" spans="1:40" s="1514" customFormat="1" ht="25.5">
      <c r="A368" s="777">
        <v>49</v>
      </c>
      <c r="B368" s="1242" t="s">
        <v>630</v>
      </c>
      <c r="C368" s="1242"/>
      <c r="D368" s="1242"/>
      <c r="E368" s="1242"/>
      <c r="F368" s="1242"/>
      <c r="G368" s="312" t="s">
        <v>44</v>
      </c>
      <c r="H368" s="1243">
        <v>2017</v>
      </c>
      <c r="I368" s="1243"/>
      <c r="J368" s="1244">
        <v>2019</v>
      </c>
      <c r="K368" s="1245"/>
      <c r="L368" s="1245"/>
      <c r="M368" s="1285" t="s">
        <v>746</v>
      </c>
      <c r="N368" s="796">
        <v>10000</v>
      </c>
      <c r="O368" s="796"/>
      <c r="P368" s="796">
        <v>3500</v>
      </c>
      <c r="Q368" s="957">
        <v>3500</v>
      </c>
      <c r="R368" s="957"/>
      <c r="S368" s="957">
        <v>0</v>
      </c>
      <c r="T368" s="957">
        <v>3500</v>
      </c>
      <c r="U368" s="957">
        <v>3500</v>
      </c>
      <c r="V368" s="776">
        <f>VLOOKUP($B368,QD!$B$9:$L$316,10,0)</f>
        <v>1750</v>
      </c>
      <c r="W368" s="776">
        <v>1750</v>
      </c>
      <c r="X368" s="776">
        <v>50</v>
      </c>
      <c r="Y368" s="957">
        <v>1750</v>
      </c>
      <c r="Z368" s="776">
        <f t="shared" si="181"/>
        <v>3500</v>
      </c>
      <c r="AA368" s="775">
        <f t="shared" si="228"/>
        <v>7000</v>
      </c>
      <c r="AB368" s="775">
        <f t="shared" si="229"/>
        <v>3500</v>
      </c>
      <c r="AC368" s="775">
        <f t="shared" si="230"/>
        <v>3500</v>
      </c>
      <c r="AD368" s="775">
        <f t="shared" si="231"/>
        <v>3500</v>
      </c>
      <c r="AE368" s="775">
        <f t="shared" si="232"/>
        <v>0</v>
      </c>
      <c r="AF368" s="957"/>
      <c r="AG368" s="782"/>
      <c r="AH368" s="1670" t="s">
        <v>747</v>
      </c>
      <c r="AI368" s="1514">
        <f t="shared" si="233"/>
        <v>0.5</v>
      </c>
      <c r="AK368" s="1515" t="s">
        <v>2059</v>
      </c>
      <c r="AL368" s="1515"/>
      <c r="AM368" s="1516" t="s">
        <v>2081</v>
      </c>
      <c r="AN368" s="745" t="s">
        <v>2087</v>
      </c>
    </row>
    <row r="369" spans="1:40" s="1514" customFormat="1" ht="64.5" customHeight="1">
      <c r="A369" s="777">
        <v>50</v>
      </c>
      <c r="B369" s="1215" t="s">
        <v>113</v>
      </c>
      <c r="C369" s="1215"/>
      <c r="D369" s="1218"/>
      <c r="E369" s="159" t="s">
        <v>48</v>
      </c>
      <c r="F369" s="1112" t="s">
        <v>386</v>
      </c>
      <c r="G369" s="159" t="s">
        <v>355</v>
      </c>
      <c r="H369" s="358">
        <v>2015</v>
      </c>
      <c r="I369" s="358">
        <v>2015</v>
      </c>
      <c r="J369" s="1216">
        <v>2020</v>
      </c>
      <c r="K369" s="358" t="s">
        <v>399</v>
      </c>
      <c r="L369" s="358"/>
      <c r="M369" s="420" t="s">
        <v>114</v>
      </c>
      <c r="N369" s="1115">
        <v>139630</v>
      </c>
      <c r="O369" s="1115">
        <v>0</v>
      </c>
      <c r="P369" s="1115">
        <v>17000</v>
      </c>
      <c r="Q369" s="1115">
        <v>32454</v>
      </c>
      <c r="R369" s="1115">
        <v>0</v>
      </c>
      <c r="S369" s="1115">
        <v>12454</v>
      </c>
      <c r="T369" s="1115">
        <v>7519</v>
      </c>
      <c r="U369" s="1115">
        <v>2846</v>
      </c>
      <c r="V369" s="776">
        <f>VLOOKUP($B369,QD!$B$9:$L$316,10,0)</f>
        <v>1423</v>
      </c>
      <c r="W369" s="776">
        <v>1423</v>
      </c>
      <c r="X369" s="776">
        <v>50</v>
      </c>
      <c r="Y369" s="1116"/>
      <c r="Z369" s="776">
        <f t="shared" si="181"/>
        <v>1423</v>
      </c>
      <c r="AA369" s="775">
        <f t="shared" si="228"/>
        <v>33877</v>
      </c>
      <c r="AB369" s="775">
        <f t="shared" si="229"/>
        <v>1423</v>
      </c>
      <c r="AC369" s="775">
        <f t="shared" si="230"/>
        <v>13877</v>
      </c>
      <c r="AD369" s="775">
        <f t="shared" si="231"/>
        <v>7519</v>
      </c>
      <c r="AE369" s="775">
        <f t="shared" si="232"/>
        <v>1423</v>
      </c>
      <c r="AF369" s="1116"/>
      <c r="AG369" s="782"/>
      <c r="AH369" s="1668"/>
      <c r="AI369" s="1514">
        <f t="shared" si="233"/>
        <v>0.5</v>
      </c>
      <c r="AK369" s="1515" t="s">
        <v>2064</v>
      </c>
      <c r="AL369" s="1515" t="s">
        <v>164</v>
      </c>
      <c r="AM369" s="1516"/>
      <c r="AN369" s="745"/>
    </row>
    <row r="370" spans="1:40" s="1514" customFormat="1" ht="25.5">
      <c r="A370" s="777">
        <v>51</v>
      </c>
      <c r="B370" s="1092" t="s">
        <v>1006</v>
      </c>
      <c r="C370" s="1092"/>
      <c r="D370" s="1093"/>
      <c r="E370" s="159" t="s">
        <v>41</v>
      </c>
      <c r="F370" s="1112" t="s">
        <v>386</v>
      </c>
      <c r="G370" s="159" t="s">
        <v>9</v>
      </c>
      <c r="H370" s="358">
        <v>2014</v>
      </c>
      <c r="I370" s="358">
        <v>2014</v>
      </c>
      <c r="J370" s="1216">
        <v>2020</v>
      </c>
      <c r="K370" s="358" t="s">
        <v>399</v>
      </c>
      <c r="L370" s="358"/>
      <c r="M370" s="392" t="s">
        <v>98</v>
      </c>
      <c r="N370" s="1115">
        <v>46489</v>
      </c>
      <c r="O370" s="1115">
        <v>0</v>
      </c>
      <c r="P370" s="1115">
        <v>46489</v>
      </c>
      <c r="Q370" s="1115">
        <f>4500+27187</f>
        <v>31687</v>
      </c>
      <c r="R370" s="1115">
        <v>0</v>
      </c>
      <c r="S370" s="1115">
        <f>Q370</f>
        <v>31687</v>
      </c>
      <c r="T370" s="1115">
        <v>16500</v>
      </c>
      <c r="U370" s="1115">
        <v>14850</v>
      </c>
      <c r="V370" s="776">
        <f>VLOOKUP($B370,QD!$B$9:$L$316,10,0)</f>
        <v>7250</v>
      </c>
      <c r="W370" s="776">
        <v>7250</v>
      </c>
      <c r="X370" s="776">
        <v>50</v>
      </c>
      <c r="Y370" s="1116"/>
      <c r="Z370" s="776">
        <f t="shared" ref="Z370:Z394" si="234">V370+Y370</f>
        <v>7250</v>
      </c>
      <c r="AA370" s="775">
        <f t="shared" si="228"/>
        <v>38937</v>
      </c>
      <c r="AB370" s="775">
        <f t="shared" si="229"/>
        <v>7250</v>
      </c>
      <c r="AC370" s="775">
        <f t="shared" si="230"/>
        <v>38937</v>
      </c>
      <c r="AD370" s="775">
        <f t="shared" si="231"/>
        <v>16500</v>
      </c>
      <c r="AE370" s="775">
        <f t="shared" si="232"/>
        <v>7600</v>
      </c>
      <c r="AF370" s="1116"/>
      <c r="AG370" s="782"/>
      <c r="AH370" s="1668" t="s">
        <v>537</v>
      </c>
      <c r="AI370" s="1514">
        <f t="shared" si="233"/>
        <v>0.48821548821548821</v>
      </c>
      <c r="AK370" s="1515" t="s">
        <v>1975</v>
      </c>
      <c r="AL370" s="747" t="s">
        <v>41</v>
      </c>
      <c r="AM370" s="1516"/>
      <c r="AN370" s="745"/>
    </row>
    <row r="371" spans="1:40" s="1682" customFormat="1" ht="25.5">
      <c r="A371" s="777">
        <v>53</v>
      </c>
      <c r="B371" s="1249" t="s">
        <v>149</v>
      </c>
      <c r="C371" s="1249"/>
      <c r="D371" s="1249"/>
      <c r="E371" s="1249"/>
      <c r="F371" s="1249"/>
      <c r="G371" s="1250" t="s">
        <v>9</v>
      </c>
      <c r="H371" s="1250">
        <v>2016</v>
      </c>
      <c r="I371" s="1250"/>
      <c r="J371" s="1216">
        <v>2020</v>
      </c>
      <c r="K371" s="1251"/>
      <c r="L371" s="1251"/>
      <c r="M371" s="434"/>
      <c r="N371" s="1256">
        <v>5305</v>
      </c>
      <c r="O371" s="1256"/>
      <c r="P371" s="1256">
        <v>5305</v>
      </c>
      <c r="Q371" s="1256">
        <v>2000</v>
      </c>
      <c r="R371" s="1256"/>
      <c r="S371" s="1256">
        <v>2000</v>
      </c>
      <c r="T371" s="1256">
        <v>4775</v>
      </c>
      <c r="U371" s="1256">
        <v>2775</v>
      </c>
      <c r="V371" s="776">
        <f>VLOOKUP($B371,QD!$B$9:$L$316,10,0)</f>
        <v>2775</v>
      </c>
      <c r="W371" s="776">
        <v>1387.5</v>
      </c>
      <c r="X371" s="776">
        <v>50</v>
      </c>
      <c r="Y371" s="1256"/>
      <c r="Z371" s="776">
        <f t="shared" si="234"/>
        <v>2775</v>
      </c>
      <c r="AA371" s="775">
        <f t="shared" si="228"/>
        <v>4775</v>
      </c>
      <c r="AB371" s="775">
        <f t="shared" si="229"/>
        <v>2775</v>
      </c>
      <c r="AC371" s="775">
        <f t="shared" si="230"/>
        <v>4775</v>
      </c>
      <c r="AD371" s="775">
        <f t="shared" si="231"/>
        <v>4775</v>
      </c>
      <c r="AE371" s="775">
        <f t="shared" si="232"/>
        <v>0</v>
      </c>
      <c r="AF371" s="1256"/>
      <c r="AG371" s="776"/>
      <c r="AH371" s="1672" t="s">
        <v>632</v>
      </c>
      <c r="AK371" s="1683" t="s">
        <v>1986</v>
      </c>
      <c r="AL371" s="1683" t="s">
        <v>164</v>
      </c>
      <c r="AM371" s="1684"/>
      <c r="AN371" s="745"/>
    </row>
    <row r="372" spans="1:40" s="1291" customFormat="1" ht="22.5" customHeight="1">
      <c r="A372" s="1286"/>
      <c r="B372" s="1287" t="s">
        <v>1601</v>
      </c>
      <c r="C372" s="886"/>
      <c r="D372" s="886"/>
      <c r="E372" s="886"/>
      <c r="F372" s="886"/>
      <c r="G372" s="886"/>
      <c r="H372" s="886"/>
      <c r="I372" s="886"/>
      <c r="J372" s="886"/>
      <c r="K372" s="886"/>
      <c r="L372" s="886"/>
      <c r="M372" s="1288"/>
      <c r="N372" s="1289">
        <f>SUBTOTAL(9, N373:N375)</f>
        <v>68196</v>
      </c>
      <c r="O372" s="1289">
        <f t="shared" ref="O372:AE372" si="235">SUBTOTAL(9, O373:O375)</f>
        <v>0</v>
      </c>
      <c r="P372" s="1289">
        <f t="shared" si="235"/>
        <v>25303</v>
      </c>
      <c r="Q372" s="1289">
        <f t="shared" si="235"/>
        <v>10500</v>
      </c>
      <c r="R372" s="1289">
        <f t="shared" si="235"/>
        <v>0</v>
      </c>
      <c r="S372" s="1289">
        <f t="shared" si="235"/>
        <v>4500</v>
      </c>
      <c r="T372" s="1289">
        <f t="shared" si="235"/>
        <v>25303</v>
      </c>
      <c r="U372" s="1289">
        <f t="shared" si="235"/>
        <v>20803</v>
      </c>
      <c r="V372" s="1289">
        <f t="shared" si="235"/>
        <v>5100</v>
      </c>
      <c r="W372" s="1289">
        <f t="shared" si="235"/>
        <v>5100</v>
      </c>
      <c r="X372" s="1289"/>
      <c r="Y372" s="1289">
        <f t="shared" si="235"/>
        <v>3600</v>
      </c>
      <c r="Z372" s="1289">
        <f t="shared" si="235"/>
        <v>8700</v>
      </c>
      <c r="AA372" s="1289">
        <f t="shared" si="235"/>
        <v>19200</v>
      </c>
      <c r="AB372" s="1289">
        <f t="shared" si="235"/>
        <v>8700</v>
      </c>
      <c r="AC372" s="1289">
        <f t="shared" si="235"/>
        <v>13200</v>
      </c>
      <c r="AD372" s="1289">
        <f t="shared" si="235"/>
        <v>25303</v>
      </c>
      <c r="AE372" s="1289">
        <f t="shared" si="235"/>
        <v>12103</v>
      </c>
      <c r="AF372" s="1290"/>
      <c r="AG372" s="1290"/>
      <c r="AH372" s="886"/>
      <c r="AK372" s="1292"/>
      <c r="AL372" s="1292"/>
      <c r="AM372" s="886"/>
      <c r="AN372" s="745"/>
    </row>
    <row r="373" spans="1:40" s="1514" customFormat="1" ht="38.25">
      <c r="A373" s="423">
        <v>1</v>
      </c>
      <c r="B373" s="956" t="s">
        <v>1013</v>
      </c>
      <c r="C373" s="956"/>
      <c r="D373" s="956"/>
      <c r="E373" s="956"/>
      <c r="F373" s="956"/>
      <c r="G373" s="423" t="s">
        <v>9</v>
      </c>
      <c r="H373" s="791">
        <v>2018</v>
      </c>
      <c r="I373" s="791"/>
      <c r="J373" s="792">
        <v>2020</v>
      </c>
      <c r="K373" s="792"/>
      <c r="L373" s="792"/>
      <c r="M373" s="793" t="s">
        <v>1587</v>
      </c>
      <c r="N373" s="957">
        <v>6600</v>
      </c>
      <c r="O373" s="957"/>
      <c r="P373" s="957">
        <v>6600</v>
      </c>
      <c r="Q373" s="957"/>
      <c r="R373" s="957"/>
      <c r="S373" s="957"/>
      <c r="T373" s="957">
        <f>3700+2900</f>
        <v>6600</v>
      </c>
      <c r="U373" s="957">
        <v>6600</v>
      </c>
      <c r="V373" s="776">
        <v>1850</v>
      </c>
      <c r="W373" s="776">
        <v>1850</v>
      </c>
      <c r="X373" s="776">
        <v>50</v>
      </c>
      <c r="Y373" s="796">
        <v>1850</v>
      </c>
      <c r="Z373" s="776">
        <f t="shared" ref="Z373:Z375" si="236">V373+Y373</f>
        <v>3700</v>
      </c>
      <c r="AA373" s="775">
        <f t="shared" ref="AA373:AC375" si="237">Q373+$Z373</f>
        <v>3700</v>
      </c>
      <c r="AB373" s="775">
        <f t="shared" si="237"/>
        <v>3700</v>
      </c>
      <c r="AC373" s="775">
        <f t="shared" si="237"/>
        <v>3700</v>
      </c>
      <c r="AD373" s="775">
        <f t="shared" ref="AD373:AD375" si="238">T373</f>
        <v>6600</v>
      </c>
      <c r="AE373" s="775">
        <f t="shared" ref="AE373:AE375" si="239">U373-Z373</f>
        <v>2900</v>
      </c>
      <c r="AF373" s="796"/>
      <c r="AG373" s="782"/>
      <c r="AH373" s="1685" t="s">
        <v>1602</v>
      </c>
      <c r="AK373" s="1515" t="s">
        <v>1983</v>
      </c>
      <c r="AL373" s="1515" t="s">
        <v>164</v>
      </c>
      <c r="AM373" s="1516"/>
      <c r="AN373" s="745"/>
    </row>
    <row r="374" spans="1:40" s="1514" customFormat="1" ht="38.25">
      <c r="A374" s="1293">
        <v>2</v>
      </c>
      <c r="B374" s="1294" t="s">
        <v>703</v>
      </c>
      <c r="G374" s="1295" t="s">
        <v>9</v>
      </c>
      <c r="H374" s="1296">
        <v>2018</v>
      </c>
      <c r="I374" s="1296"/>
      <c r="J374" s="1297">
        <v>2020</v>
      </c>
      <c r="M374" s="1293" t="s">
        <v>1019</v>
      </c>
      <c r="N374" s="1298">
        <v>7657</v>
      </c>
      <c r="O374" s="1298"/>
      <c r="P374" s="957">
        <v>5657</v>
      </c>
      <c r="Q374" s="1298"/>
      <c r="R374" s="1298"/>
      <c r="S374" s="1298"/>
      <c r="T374" s="1298">
        <v>5657</v>
      </c>
      <c r="U374" s="1298">
        <v>5657</v>
      </c>
      <c r="V374" s="776">
        <v>1750</v>
      </c>
      <c r="W374" s="776">
        <v>1750</v>
      </c>
      <c r="X374" s="776">
        <v>50</v>
      </c>
      <c r="Y374" s="1298">
        <v>1750</v>
      </c>
      <c r="Z374" s="776">
        <f t="shared" si="236"/>
        <v>3500</v>
      </c>
      <c r="AA374" s="775">
        <f t="shared" si="237"/>
        <v>3500</v>
      </c>
      <c r="AB374" s="775">
        <f t="shared" si="237"/>
        <v>3500</v>
      </c>
      <c r="AC374" s="775">
        <f t="shared" si="237"/>
        <v>3500</v>
      </c>
      <c r="AD374" s="775">
        <f t="shared" si="238"/>
        <v>5657</v>
      </c>
      <c r="AE374" s="775">
        <f t="shared" si="239"/>
        <v>2157</v>
      </c>
      <c r="AF374" s="1298"/>
      <c r="AG374" s="1298"/>
      <c r="AH374" s="1685" t="s">
        <v>1613</v>
      </c>
      <c r="AK374" s="1515" t="s">
        <v>2062</v>
      </c>
      <c r="AL374" s="1515" t="s">
        <v>164</v>
      </c>
      <c r="AM374" s="1516"/>
      <c r="AN374" s="745"/>
    </row>
    <row r="375" spans="1:40" s="1514" customFormat="1" ht="25.5">
      <c r="A375" s="777">
        <v>3</v>
      </c>
      <c r="B375" s="1299" t="s">
        <v>115</v>
      </c>
      <c r="C375" s="1299"/>
      <c r="D375" s="1299"/>
      <c r="E375" s="1224" t="s">
        <v>39</v>
      </c>
      <c r="F375" s="1112" t="s">
        <v>386</v>
      </c>
      <c r="G375" s="1094" t="s">
        <v>17</v>
      </c>
      <c r="H375" s="358">
        <v>2015</v>
      </c>
      <c r="I375" s="358">
        <v>2015</v>
      </c>
      <c r="J375" s="1216">
        <v>2020</v>
      </c>
      <c r="K375" s="358" t="s">
        <v>399</v>
      </c>
      <c r="L375" s="358"/>
      <c r="M375" s="159" t="s">
        <v>116</v>
      </c>
      <c r="N375" s="1115">
        <v>53939</v>
      </c>
      <c r="O375" s="1115">
        <v>0</v>
      </c>
      <c r="P375" s="1115">
        <v>13046</v>
      </c>
      <c r="Q375" s="1115">
        <v>10500</v>
      </c>
      <c r="R375" s="1115">
        <v>0</v>
      </c>
      <c r="S375" s="1115">
        <v>4500</v>
      </c>
      <c r="T375" s="1115">
        <f>6000+7046</f>
        <v>13046</v>
      </c>
      <c r="U375" s="1115">
        <f>1500+7046</f>
        <v>8546</v>
      </c>
      <c r="V375" s="776">
        <v>1500</v>
      </c>
      <c r="W375" s="776">
        <v>1500</v>
      </c>
      <c r="X375" s="776">
        <v>100</v>
      </c>
      <c r="Y375" s="1116"/>
      <c r="Z375" s="776">
        <f t="shared" si="236"/>
        <v>1500</v>
      </c>
      <c r="AA375" s="775">
        <f t="shared" si="237"/>
        <v>12000</v>
      </c>
      <c r="AB375" s="775">
        <f t="shared" si="237"/>
        <v>1500</v>
      </c>
      <c r="AC375" s="775">
        <f t="shared" si="237"/>
        <v>6000</v>
      </c>
      <c r="AD375" s="775">
        <f t="shared" si="238"/>
        <v>13046</v>
      </c>
      <c r="AE375" s="775">
        <f t="shared" si="239"/>
        <v>7046</v>
      </c>
      <c r="AF375" s="1116"/>
      <c r="AG375" s="782"/>
      <c r="AH375" s="1685" t="s">
        <v>1639</v>
      </c>
      <c r="AK375" s="1515" t="s">
        <v>1966</v>
      </c>
      <c r="AL375" s="1515" t="s">
        <v>164</v>
      </c>
      <c r="AM375" s="1516" t="s">
        <v>2081</v>
      </c>
      <c r="AN375" s="745"/>
    </row>
    <row r="376" spans="1:40" s="1173" customFormat="1">
      <c r="A376" s="1300" t="s">
        <v>572</v>
      </c>
      <c r="B376" s="1301" t="s">
        <v>493</v>
      </c>
      <c r="C376" s="1301"/>
      <c r="D376" s="1301"/>
      <c r="E376" s="1301"/>
      <c r="F376" s="1301"/>
      <c r="G376" s="1300"/>
      <c r="H376" s="1300"/>
      <c r="I376" s="1300"/>
      <c r="J376" s="1300"/>
      <c r="K376" s="1300"/>
      <c r="L376" s="1300"/>
      <c r="M376" s="1300"/>
      <c r="N376" s="1302">
        <f>SUBTOTAL(9, N378:N394)</f>
        <v>140865</v>
      </c>
      <c r="O376" s="1302">
        <f t="shared" ref="O376:AE376" si="240">SUBTOTAL(9, O378:O394)</f>
        <v>0</v>
      </c>
      <c r="P376" s="1302">
        <f t="shared" si="240"/>
        <v>118298</v>
      </c>
      <c r="Q376" s="1302">
        <f t="shared" si="240"/>
        <v>3570</v>
      </c>
      <c r="R376" s="1302">
        <f t="shared" si="240"/>
        <v>0</v>
      </c>
      <c r="S376" s="1302">
        <f t="shared" si="240"/>
        <v>360</v>
      </c>
      <c r="T376" s="1302">
        <f t="shared" si="240"/>
        <v>111854.5</v>
      </c>
      <c r="U376" s="1302">
        <f t="shared" si="240"/>
        <v>111674.5</v>
      </c>
      <c r="V376" s="1302">
        <f t="shared" si="240"/>
        <v>37387</v>
      </c>
      <c r="W376" s="1302">
        <f t="shared" si="240"/>
        <v>37386.550000000003</v>
      </c>
      <c r="X376" s="1302"/>
      <c r="Y376" s="1302">
        <f t="shared" si="240"/>
        <v>30514</v>
      </c>
      <c r="Z376" s="1302">
        <f t="shared" si="240"/>
        <v>67901</v>
      </c>
      <c r="AA376" s="1302">
        <f t="shared" si="240"/>
        <v>71471</v>
      </c>
      <c r="AB376" s="1302">
        <f t="shared" si="240"/>
        <v>67901</v>
      </c>
      <c r="AC376" s="1302">
        <f t="shared" si="240"/>
        <v>68261</v>
      </c>
      <c r="AD376" s="1302">
        <f t="shared" si="240"/>
        <v>111854.5</v>
      </c>
      <c r="AE376" s="1302">
        <f t="shared" si="240"/>
        <v>43593.5</v>
      </c>
      <c r="AF376" s="1302"/>
      <c r="AG376" s="1302"/>
      <c r="AH376" s="1300"/>
      <c r="AK376" s="1174"/>
      <c r="AL376" s="1174"/>
      <c r="AM376" s="832"/>
      <c r="AN376" s="745"/>
    </row>
    <row r="377" spans="1:40" s="1514" customFormat="1" ht="25.5">
      <c r="A377" s="1303"/>
      <c r="B377" s="1304" t="s">
        <v>625</v>
      </c>
      <c r="C377" s="1304"/>
      <c r="D377" s="1304"/>
      <c r="E377" s="1304"/>
      <c r="F377" s="1304"/>
      <c r="G377" s="1303"/>
      <c r="H377" s="1303"/>
      <c r="I377" s="1303"/>
      <c r="J377" s="1303"/>
      <c r="K377" s="1303"/>
      <c r="L377" s="1303"/>
      <c r="M377" s="1303"/>
      <c r="N377" s="1305"/>
      <c r="O377" s="1305"/>
      <c r="P377" s="1305"/>
      <c r="Q377" s="1305"/>
      <c r="R377" s="1305"/>
      <c r="S377" s="1305"/>
      <c r="T377" s="1305"/>
      <c r="U377" s="1305"/>
      <c r="V377" s="776"/>
      <c r="W377" s="1305"/>
      <c r="X377" s="782"/>
      <c r="Y377" s="1305"/>
      <c r="Z377" s="776">
        <f t="shared" si="234"/>
        <v>0</v>
      </c>
      <c r="AA377" s="1305"/>
      <c r="AB377" s="1305"/>
      <c r="AC377" s="1305"/>
      <c r="AD377" s="1305"/>
      <c r="AE377" s="1305"/>
      <c r="AF377" s="1305"/>
      <c r="AG377" s="782"/>
      <c r="AH377" s="1303"/>
      <c r="AI377" s="1514">
        <v>21345</v>
      </c>
      <c r="AK377" s="1515"/>
      <c r="AL377" s="1515"/>
      <c r="AM377" s="1516"/>
      <c r="AN377" s="745"/>
    </row>
    <row r="378" spans="1:40" ht="38.25">
      <c r="A378" s="423">
        <v>1</v>
      </c>
      <c r="B378" s="790" t="s">
        <v>513</v>
      </c>
      <c r="C378" s="790"/>
      <c r="D378" s="790"/>
      <c r="E378" s="790"/>
      <c r="F378" s="790"/>
      <c r="G378" s="185" t="s">
        <v>49</v>
      </c>
      <c r="H378" s="791">
        <v>2018</v>
      </c>
      <c r="I378" s="791"/>
      <c r="J378" s="792">
        <v>2020</v>
      </c>
      <c r="K378" s="792"/>
      <c r="L378" s="792"/>
      <c r="M378" s="410" t="s">
        <v>631</v>
      </c>
      <c r="N378" s="796">
        <v>11993</v>
      </c>
      <c r="O378" s="796"/>
      <c r="P378" s="957">
        <v>5899</v>
      </c>
      <c r="Q378" s="796">
        <v>60</v>
      </c>
      <c r="R378" s="796"/>
      <c r="S378" s="796">
        <v>60</v>
      </c>
      <c r="T378" s="796">
        <v>5309</v>
      </c>
      <c r="U378" s="796">
        <v>5309</v>
      </c>
      <c r="V378" s="776">
        <f>VLOOKUP($B378,QD!$B$9:$L$316,10,0)</f>
        <v>1593</v>
      </c>
      <c r="W378" s="776">
        <v>1592.7</v>
      </c>
      <c r="X378" s="776">
        <v>30</v>
      </c>
      <c r="Y378" s="796"/>
      <c r="Z378" s="776">
        <f t="shared" si="234"/>
        <v>1593</v>
      </c>
      <c r="AA378" s="775">
        <f t="shared" ref="AA378" si="241">Q378+$Z378</f>
        <v>1653</v>
      </c>
      <c r="AB378" s="775">
        <f t="shared" ref="AB378" si="242">R378+$Z378</f>
        <v>1593</v>
      </c>
      <c r="AC378" s="775">
        <f t="shared" ref="AC378" si="243">S378+$Z378</f>
        <v>1653</v>
      </c>
      <c r="AD378" s="775">
        <f t="shared" ref="AD378" si="244">T378</f>
        <v>5309</v>
      </c>
      <c r="AE378" s="775">
        <f>U378-Z378-S378</f>
        <v>3656</v>
      </c>
      <c r="AF378" s="796"/>
      <c r="AG378" s="776"/>
      <c r="AH378" s="1325"/>
      <c r="AI378" s="1509">
        <f>W376-AI377</f>
        <v>16041.550000000003</v>
      </c>
      <c r="AK378" s="747" t="s">
        <v>1946</v>
      </c>
      <c r="AL378" s="747" t="s">
        <v>41</v>
      </c>
      <c r="AM378" s="746" t="s">
        <v>2080</v>
      </c>
      <c r="AN378" s="745" t="s">
        <v>2087</v>
      </c>
    </row>
    <row r="379" spans="1:40" ht="38.25">
      <c r="A379" s="423">
        <v>2</v>
      </c>
      <c r="B379" s="790" t="s">
        <v>578</v>
      </c>
      <c r="C379" s="790"/>
      <c r="D379" s="790"/>
      <c r="E379" s="790"/>
      <c r="F379" s="790"/>
      <c r="G379" s="185" t="s">
        <v>49</v>
      </c>
      <c r="H379" s="791">
        <v>2018</v>
      </c>
      <c r="I379" s="791"/>
      <c r="J379" s="792">
        <v>2020</v>
      </c>
      <c r="K379" s="792"/>
      <c r="L379" s="792"/>
      <c r="M379" s="312" t="s">
        <v>579</v>
      </c>
      <c r="N379" s="796">
        <v>5000</v>
      </c>
      <c r="O379" s="796"/>
      <c r="P379" s="957">
        <v>3600</v>
      </c>
      <c r="Q379" s="796"/>
      <c r="R379" s="796"/>
      <c r="S379" s="796"/>
      <c r="T379" s="796">
        <v>3240</v>
      </c>
      <c r="U379" s="796">
        <v>3240</v>
      </c>
      <c r="V379" s="776">
        <f>VLOOKUP($B379,QD!$B$9:$L$316,10,0)</f>
        <v>972</v>
      </c>
      <c r="W379" s="776">
        <v>972</v>
      </c>
      <c r="X379" s="776">
        <v>30</v>
      </c>
      <c r="Y379" s="796"/>
      <c r="Z379" s="776">
        <f t="shared" si="234"/>
        <v>972</v>
      </c>
      <c r="AA379" s="775">
        <f t="shared" ref="AA379:AA394" si="245">Q379+$Z379</f>
        <v>972</v>
      </c>
      <c r="AB379" s="775">
        <f t="shared" ref="AB379:AB394" si="246">R379+$Z379</f>
        <v>972</v>
      </c>
      <c r="AC379" s="775">
        <f t="shared" ref="AC379:AC394" si="247">S379+$Z379</f>
        <v>972</v>
      </c>
      <c r="AD379" s="775">
        <f t="shared" ref="AD379:AD394" si="248">T379</f>
        <v>3240</v>
      </c>
      <c r="AE379" s="775">
        <f t="shared" ref="AE379:AE394" si="249">U379-Z379</f>
        <v>2268</v>
      </c>
      <c r="AF379" s="796"/>
      <c r="AG379" s="776"/>
      <c r="AH379" s="1325"/>
      <c r="AI379" s="1509">
        <f>AI378-AH377</f>
        <v>16041.550000000003</v>
      </c>
      <c r="AK379" s="747" t="s">
        <v>1947</v>
      </c>
      <c r="AL379" s="747" t="s">
        <v>41</v>
      </c>
      <c r="AM379" s="746" t="s">
        <v>2080</v>
      </c>
      <c r="AN379" s="745" t="s">
        <v>2087</v>
      </c>
    </row>
    <row r="380" spans="1:40" ht="25.5">
      <c r="A380" s="423">
        <v>3</v>
      </c>
      <c r="B380" s="1306" t="s">
        <v>527</v>
      </c>
      <c r="C380" s="1306"/>
      <c r="D380" s="1306"/>
      <c r="E380" s="1306"/>
      <c r="F380" s="1306"/>
      <c r="G380" s="1307" t="s">
        <v>10</v>
      </c>
      <c r="H380" s="791">
        <v>2018</v>
      </c>
      <c r="I380" s="791"/>
      <c r="J380" s="792">
        <v>2020</v>
      </c>
      <c r="K380" s="792"/>
      <c r="L380" s="792"/>
      <c r="M380" s="1308" t="s">
        <v>748</v>
      </c>
      <c r="N380" s="796">
        <v>5000</v>
      </c>
      <c r="O380" s="796"/>
      <c r="P380" s="796">
        <v>4137</v>
      </c>
      <c r="Q380" s="957"/>
      <c r="R380" s="957"/>
      <c r="S380" s="957"/>
      <c r="T380" s="957">
        <v>3723</v>
      </c>
      <c r="U380" s="957">
        <v>3723</v>
      </c>
      <c r="V380" s="776">
        <f>VLOOKUP($B380,QD!$B$9:$L$316,10,0)</f>
        <v>1117</v>
      </c>
      <c r="W380" s="776">
        <v>1116.9000000000001</v>
      </c>
      <c r="X380" s="776">
        <v>30</v>
      </c>
      <c r="Y380" s="796"/>
      <c r="Z380" s="776">
        <f t="shared" si="234"/>
        <v>1117</v>
      </c>
      <c r="AA380" s="775">
        <f t="shared" si="245"/>
        <v>1117</v>
      </c>
      <c r="AB380" s="775">
        <f t="shared" si="246"/>
        <v>1117</v>
      </c>
      <c r="AC380" s="775">
        <f t="shared" si="247"/>
        <v>1117</v>
      </c>
      <c r="AD380" s="775">
        <f t="shared" si="248"/>
        <v>3723</v>
      </c>
      <c r="AE380" s="775">
        <f t="shared" si="249"/>
        <v>2606</v>
      </c>
      <c r="AF380" s="796"/>
      <c r="AG380" s="776"/>
      <c r="AH380" s="1581" t="s">
        <v>747</v>
      </c>
      <c r="AK380" s="747" t="s">
        <v>1948</v>
      </c>
      <c r="AL380" s="747" t="s">
        <v>2061</v>
      </c>
      <c r="AM380" s="746"/>
      <c r="AN380" s="745" t="s">
        <v>2087</v>
      </c>
    </row>
    <row r="381" spans="1:40" ht="25.5">
      <c r="A381" s="423">
        <v>4</v>
      </c>
      <c r="B381" s="1277" t="s">
        <v>514</v>
      </c>
      <c r="C381" s="1277"/>
      <c r="D381" s="1277"/>
      <c r="E381" s="1277"/>
      <c r="F381" s="1277"/>
      <c r="G381" s="185" t="s">
        <v>46</v>
      </c>
      <c r="H381" s="791">
        <v>2018</v>
      </c>
      <c r="I381" s="791"/>
      <c r="J381" s="792">
        <v>2020</v>
      </c>
      <c r="K381" s="792"/>
      <c r="L381" s="792"/>
      <c r="M381" s="1307" t="s">
        <v>744</v>
      </c>
      <c r="N381" s="796">
        <v>15000</v>
      </c>
      <c r="O381" s="796"/>
      <c r="P381" s="796">
        <v>7500</v>
      </c>
      <c r="Q381" s="796">
        <v>60</v>
      </c>
      <c r="R381" s="796"/>
      <c r="S381" s="796">
        <v>60</v>
      </c>
      <c r="T381" s="796">
        <v>6750</v>
      </c>
      <c r="U381" s="796">
        <v>6750</v>
      </c>
      <c r="V381" s="776">
        <f>VLOOKUP($B381,QD!$B$9:$L$316,10,0)</f>
        <v>2025</v>
      </c>
      <c r="W381" s="776">
        <v>2025</v>
      </c>
      <c r="X381" s="776">
        <v>30</v>
      </c>
      <c r="Y381" s="796"/>
      <c r="Z381" s="776">
        <f t="shared" si="234"/>
        <v>2025</v>
      </c>
      <c r="AA381" s="775">
        <f t="shared" si="245"/>
        <v>2085</v>
      </c>
      <c r="AB381" s="775">
        <f t="shared" si="246"/>
        <v>2025</v>
      </c>
      <c r="AC381" s="775">
        <f t="shared" si="247"/>
        <v>2085</v>
      </c>
      <c r="AD381" s="775">
        <f t="shared" si="248"/>
        <v>6750</v>
      </c>
      <c r="AE381" s="775">
        <f>U381-Z381-S381</f>
        <v>4665</v>
      </c>
      <c r="AF381" s="796"/>
      <c r="AG381" s="776"/>
      <c r="AH381" s="1325"/>
      <c r="AK381" s="747" t="s">
        <v>2109</v>
      </c>
      <c r="AL381" s="747" t="s">
        <v>164</v>
      </c>
      <c r="AM381" s="746"/>
    </row>
    <row r="382" spans="1:40" ht="25.5">
      <c r="A382" s="423">
        <v>5</v>
      </c>
      <c r="B382" s="790" t="s">
        <v>515</v>
      </c>
      <c r="C382" s="790"/>
      <c r="D382" s="790"/>
      <c r="E382" s="790"/>
      <c r="F382" s="790"/>
      <c r="G382" s="185" t="s">
        <v>17</v>
      </c>
      <c r="H382" s="791">
        <v>2018</v>
      </c>
      <c r="I382" s="791"/>
      <c r="J382" s="792">
        <v>2020</v>
      </c>
      <c r="K382" s="792"/>
      <c r="L382" s="792"/>
      <c r="M382" s="1309" t="s">
        <v>1029</v>
      </c>
      <c r="N382" s="796">
        <v>9500</v>
      </c>
      <c r="O382" s="796"/>
      <c r="P382" s="957">
        <v>9500</v>
      </c>
      <c r="Q382" s="796">
        <v>60</v>
      </c>
      <c r="R382" s="796"/>
      <c r="S382" s="796">
        <v>60</v>
      </c>
      <c r="T382" s="796">
        <v>8550</v>
      </c>
      <c r="U382" s="796">
        <v>8550</v>
      </c>
      <c r="V382" s="776">
        <f>VLOOKUP($B382,QD!$B$9:$L$316,10,0)</f>
        <v>2565</v>
      </c>
      <c r="W382" s="776">
        <v>2565</v>
      </c>
      <c r="X382" s="776">
        <v>30</v>
      </c>
      <c r="Y382" s="796">
        <v>5930</v>
      </c>
      <c r="Z382" s="776">
        <f t="shared" si="234"/>
        <v>8495</v>
      </c>
      <c r="AA382" s="775">
        <f t="shared" si="245"/>
        <v>8555</v>
      </c>
      <c r="AB382" s="775">
        <f t="shared" si="246"/>
        <v>8495</v>
      </c>
      <c r="AC382" s="775">
        <f t="shared" si="247"/>
        <v>8555</v>
      </c>
      <c r="AD382" s="775">
        <f t="shared" si="248"/>
        <v>8550</v>
      </c>
      <c r="AE382" s="775">
        <f>U382-Z382-S382</f>
        <v>-5</v>
      </c>
      <c r="AF382" s="796"/>
      <c r="AG382" s="776"/>
      <c r="AH382" s="1325" t="s">
        <v>2088</v>
      </c>
      <c r="AK382" s="747" t="s">
        <v>1949</v>
      </c>
      <c r="AL382" s="747" t="s">
        <v>41</v>
      </c>
      <c r="AM382" s="746"/>
      <c r="AN382" s="745" t="s">
        <v>2087</v>
      </c>
    </row>
    <row r="383" spans="1:40" ht="25.5">
      <c r="A383" s="423"/>
      <c r="B383" s="1304" t="s">
        <v>626</v>
      </c>
      <c r="C383" s="790"/>
      <c r="D383" s="790"/>
      <c r="E383" s="790"/>
      <c r="F383" s="790"/>
      <c r="G383" s="185"/>
      <c r="H383" s="791"/>
      <c r="I383" s="791"/>
      <c r="J383" s="792"/>
      <c r="K383" s="792"/>
      <c r="L383" s="792"/>
      <c r="M383" s="1307"/>
      <c r="N383" s="796"/>
      <c r="O383" s="796"/>
      <c r="P383" s="957"/>
      <c r="Q383" s="796"/>
      <c r="R383" s="796"/>
      <c r="S383" s="796"/>
      <c r="T383" s="796"/>
      <c r="U383" s="796"/>
      <c r="V383" s="776"/>
      <c r="W383" s="776"/>
      <c r="X383" s="776"/>
      <c r="Y383" s="796"/>
      <c r="Z383" s="776">
        <f t="shared" si="234"/>
        <v>0</v>
      </c>
      <c r="AA383" s="775">
        <f t="shared" si="245"/>
        <v>0</v>
      </c>
      <c r="AB383" s="775">
        <f t="shared" si="246"/>
        <v>0</v>
      </c>
      <c r="AC383" s="775">
        <f t="shared" si="247"/>
        <v>0</v>
      </c>
      <c r="AD383" s="775">
        <f t="shared" si="248"/>
        <v>0</v>
      </c>
      <c r="AE383" s="775">
        <f t="shared" si="249"/>
        <v>0</v>
      </c>
      <c r="AF383" s="796"/>
      <c r="AG383" s="776"/>
      <c r="AH383" s="1325"/>
      <c r="AK383" s="747"/>
      <c r="AL383" s="747"/>
      <c r="AM383" s="746"/>
    </row>
    <row r="384" spans="1:40" s="1514" customFormat="1" ht="25.5">
      <c r="A384" s="423">
        <v>6</v>
      </c>
      <c r="B384" s="1306" t="s">
        <v>1033</v>
      </c>
      <c r="C384" s="1306"/>
      <c r="D384" s="1306"/>
      <c r="E384" s="1306"/>
      <c r="F384" s="1306"/>
      <c r="G384" s="1310" t="s">
        <v>44</v>
      </c>
      <c r="H384" s="791">
        <v>2018</v>
      </c>
      <c r="I384" s="791"/>
      <c r="J384" s="792">
        <v>2020</v>
      </c>
      <c r="K384" s="792"/>
      <c r="L384" s="792"/>
      <c r="M384" s="423" t="s">
        <v>529</v>
      </c>
      <c r="N384" s="796">
        <v>9986</v>
      </c>
      <c r="O384" s="796"/>
      <c r="P384" s="796">
        <v>9986</v>
      </c>
      <c r="Q384" s="796">
        <v>60</v>
      </c>
      <c r="R384" s="796"/>
      <c r="S384" s="796">
        <v>60</v>
      </c>
      <c r="T384" s="796">
        <v>9986</v>
      </c>
      <c r="U384" s="794">
        <f>T384-Q384</f>
        <v>9926</v>
      </c>
      <c r="V384" s="776">
        <f>VLOOKUP($B384,QD!$B$9:$L$316,10,0)</f>
        <v>2978</v>
      </c>
      <c r="W384" s="776">
        <v>2977.8</v>
      </c>
      <c r="X384" s="776">
        <v>30</v>
      </c>
      <c r="Y384" s="796"/>
      <c r="Z384" s="776">
        <f t="shared" si="234"/>
        <v>2978</v>
      </c>
      <c r="AA384" s="775">
        <f t="shared" si="245"/>
        <v>3038</v>
      </c>
      <c r="AB384" s="775">
        <f t="shared" si="246"/>
        <v>2978</v>
      </c>
      <c r="AC384" s="775">
        <f t="shared" si="247"/>
        <v>3038</v>
      </c>
      <c r="AD384" s="775">
        <f t="shared" si="248"/>
        <v>9986</v>
      </c>
      <c r="AE384" s="775">
        <f t="shared" si="249"/>
        <v>6948</v>
      </c>
      <c r="AF384" s="796"/>
      <c r="AG384" s="782"/>
      <c r="AH384" s="1685" t="s">
        <v>773</v>
      </c>
      <c r="AK384" s="1515" t="s">
        <v>2093</v>
      </c>
      <c r="AL384" s="1515" t="s">
        <v>2061</v>
      </c>
      <c r="AM384" s="1516" t="s">
        <v>2081</v>
      </c>
      <c r="AN384" s="745" t="s">
        <v>2087</v>
      </c>
    </row>
    <row r="385" spans="1:47" s="1514" customFormat="1" ht="25.5">
      <c r="A385" s="423">
        <v>7</v>
      </c>
      <c r="B385" s="790" t="s">
        <v>1031</v>
      </c>
      <c r="C385" s="790"/>
      <c r="D385" s="790"/>
      <c r="E385" s="790"/>
      <c r="F385" s="790"/>
      <c r="G385" s="185" t="s">
        <v>44</v>
      </c>
      <c r="H385" s="791">
        <v>2018</v>
      </c>
      <c r="I385" s="791"/>
      <c r="J385" s="792">
        <v>2020</v>
      </c>
      <c r="K385" s="792"/>
      <c r="L385" s="792"/>
      <c r="M385" s="1311" t="s">
        <v>688</v>
      </c>
      <c r="N385" s="796">
        <v>9000</v>
      </c>
      <c r="O385" s="796"/>
      <c r="P385" s="957">
        <v>9000</v>
      </c>
      <c r="Q385" s="796">
        <v>60</v>
      </c>
      <c r="R385" s="796"/>
      <c r="S385" s="796">
        <v>60</v>
      </c>
      <c r="T385" s="796">
        <v>9000</v>
      </c>
      <c r="U385" s="794">
        <f>T385-Q385</f>
        <v>8940</v>
      </c>
      <c r="V385" s="776">
        <f>VLOOKUP($B385,QD!$B$9:$L$316,10,0)</f>
        <v>2682</v>
      </c>
      <c r="W385" s="776">
        <v>2682</v>
      </c>
      <c r="X385" s="776">
        <v>30</v>
      </c>
      <c r="Y385" s="796"/>
      <c r="Z385" s="776">
        <f t="shared" si="234"/>
        <v>2682</v>
      </c>
      <c r="AA385" s="775">
        <f t="shared" si="245"/>
        <v>2742</v>
      </c>
      <c r="AB385" s="775">
        <f t="shared" si="246"/>
        <v>2682</v>
      </c>
      <c r="AC385" s="775">
        <f t="shared" si="247"/>
        <v>2742</v>
      </c>
      <c r="AD385" s="775">
        <f t="shared" si="248"/>
        <v>9000</v>
      </c>
      <c r="AE385" s="775">
        <f t="shared" si="249"/>
        <v>6258</v>
      </c>
      <c r="AF385" s="796"/>
      <c r="AG385" s="782"/>
      <c r="AH385" s="1685" t="s">
        <v>773</v>
      </c>
      <c r="AK385" s="1515" t="s">
        <v>1950</v>
      </c>
      <c r="AL385" s="747" t="s">
        <v>41</v>
      </c>
      <c r="AM385" s="1516"/>
      <c r="AN385" s="745" t="s">
        <v>2087</v>
      </c>
    </row>
    <row r="386" spans="1:47" s="1514" customFormat="1" ht="25.5">
      <c r="A386" s="423">
        <v>11</v>
      </c>
      <c r="B386" s="1306" t="s">
        <v>1026</v>
      </c>
      <c r="C386" s="1306"/>
      <c r="D386" s="1306"/>
      <c r="E386" s="1306"/>
      <c r="F386" s="1306"/>
      <c r="G386" s="1310" t="s">
        <v>17</v>
      </c>
      <c r="H386" s="791">
        <v>2018</v>
      </c>
      <c r="I386" s="791"/>
      <c r="J386" s="792">
        <v>2020</v>
      </c>
      <c r="K386" s="792"/>
      <c r="L386" s="792"/>
      <c r="M386" s="1312" t="s">
        <v>1027</v>
      </c>
      <c r="N386" s="796">
        <v>6000</v>
      </c>
      <c r="O386" s="796"/>
      <c r="P386" s="796">
        <v>6000</v>
      </c>
      <c r="Q386" s="796"/>
      <c r="R386" s="796"/>
      <c r="S386" s="796"/>
      <c r="T386" s="796">
        <v>6000</v>
      </c>
      <c r="U386" s="796">
        <v>6000</v>
      </c>
      <c r="V386" s="776">
        <f>VLOOKUP($B386,QD!$B$9:$L$316,10,0)</f>
        <v>1800</v>
      </c>
      <c r="W386" s="776">
        <v>1800</v>
      </c>
      <c r="X386" s="776">
        <v>30</v>
      </c>
      <c r="Y386" s="796"/>
      <c r="Z386" s="776">
        <f t="shared" si="234"/>
        <v>1800</v>
      </c>
      <c r="AA386" s="775">
        <f t="shared" si="245"/>
        <v>1800</v>
      </c>
      <c r="AB386" s="775">
        <f t="shared" si="246"/>
        <v>1800</v>
      </c>
      <c r="AC386" s="775">
        <f t="shared" si="247"/>
        <v>1800</v>
      </c>
      <c r="AD386" s="775">
        <f t="shared" si="248"/>
        <v>6000</v>
      </c>
      <c r="AE386" s="775">
        <f t="shared" si="249"/>
        <v>4200</v>
      </c>
      <c r="AF386" s="796"/>
      <c r="AG386" s="782"/>
      <c r="AH386" s="1325"/>
      <c r="AK386" s="1515" t="s">
        <v>1951</v>
      </c>
      <c r="AL386" s="1515" t="s">
        <v>2061</v>
      </c>
      <c r="AM386" s="1516"/>
      <c r="AN386" s="745" t="s">
        <v>2087</v>
      </c>
    </row>
    <row r="387" spans="1:47" s="1514" customFormat="1" ht="25.5">
      <c r="A387" s="423">
        <v>12</v>
      </c>
      <c r="B387" s="1306" t="s">
        <v>1032</v>
      </c>
      <c r="C387" s="1306"/>
      <c r="D387" s="1306"/>
      <c r="E387" s="1306"/>
      <c r="F387" s="1306"/>
      <c r="G387" s="1310" t="s">
        <v>44</v>
      </c>
      <c r="H387" s="791">
        <v>2018</v>
      </c>
      <c r="I387" s="791"/>
      <c r="J387" s="792">
        <v>2020</v>
      </c>
      <c r="K387" s="792"/>
      <c r="L387" s="792"/>
      <c r="M387" s="423" t="s">
        <v>534</v>
      </c>
      <c r="N387" s="796">
        <v>9500</v>
      </c>
      <c r="O387" s="796"/>
      <c r="P387" s="796">
        <v>9500</v>
      </c>
      <c r="Q387" s="796">
        <v>60</v>
      </c>
      <c r="R387" s="796"/>
      <c r="S387" s="796">
        <v>60</v>
      </c>
      <c r="T387" s="796">
        <v>9500</v>
      </c>
      <c r="U387" s="794">
        <f>T387-Q387</f>
        <v>9440</v>
      </c>
      <c r="V387" s="776">
        <f>VLOOKUP($B387,QD!$B$9:$L$316,10,0)</f>
        <v>2832</v>
      </c>
      <c r="W387" s="776">
        <v>2832</v>
      </c>
      <c r="X387" s="776">
        <v>30</v>
      </c>
      <c r="Y387" s="796"/>
      <c r="Z387" s="776">
        <f t="shared" si="234"/>
        <v>2832</v>
      </c>
      <c r="AA387" s="775">
        <f t="shared" si="245"/>
        <v>2892</v>
      </c>
      <c r="AB387" s="775">
        <f t="shared" si="246"/>
        <v>2832</v>
      </c>
      <c r="AC387" s="775">
        <f t="shared" si="247"/>
        <v>2892</v>
      </c>
      <c r="AD387" s="775">
        <f t="shared" si="248"/>
        <v>9500</v>
      </c>
      <c r="AE387" s="775">
        <f t="shared" si="249"/>
        <v>6608</v>
      </c>
      <c r="AF387" s="796"/>
      <c r="AG387" s="782"/>
      <c r="AH387" s="1685" t="s">
        <v>773</v>
      </c>
      <c r="AK387" s="1515" t="s">
        <v>1999</v>
      </c>
      <c r="AL387" s="1515" t="s">
        <v>2061</v>
      </c>
      <c r="AM387" s="1516" t="s">
        <v>2081</v>
      </c>
      <c r="AN387" s="745" t="s">
        <v>2087</v>
      </c>
    </row>
    <row r="388" spans="1:47" s="1318" customFormat="1" ht="25.5">
      <c r="A388" s="1303"/>
      <c r="B388" s="1313" t="s">
        <v>627</v>
      </c>
      <c r="C388" s="1313"/>
      <c r="D388" s="1313"/>
      <c r="E388" s="1313"/>
      <c r="F388" s="1313"/>
      <c r="G388" s="1314"/>
      <c r="H388" s="1315"/>
      <c r="I388" s="1315"/>
      <c r="J388" s="1316"/>
      <c r="K388" s="1316"/>
      <c r="L388" s="1316"/>
      <c r="M388" s="1303"/>
      <c r="N388" s="1305"/>
      <c r="O388" s="1305"/>
      <c r="P388" s="1305"/>
      <c r="Q388" s="1305"/>
      <c r="R388" s="1305"/>
      <c r="S388" s="1305"/>
      <c r="T388" s="1305"/>
      <c r="U388" s="1305"/>
      <c r="V388" s="776"/>
      <c r="W388" s="776"/>
      <c r="X388" s="776"/>
      <c r="Y388" s="796"/>
      <c r="Z388" s="776">
        <f t="shared" si="234"/>
        <v>0</v>
      </c>
      <c r="AA388" s="775">
        <f t="shared" si="245"/>
        <v>0</v>
      </c>
      <c r="AB388" s="775">
        <f t="shared" si="246"/>
        <v>0</v>
      </c>
      <c r="AC388" s="775">
        <f t="shared" si="247"/>
        <v>0</v>
      </c>
      <c r="AD388" s="775">
        <f t="shared" si="248"/>
        <v>0</v>
      </c>
      <c r="AE388" s="775">
        <f t="shared" si="249"/>
        <v>0</v>
      </c>
      <c r="AF388" s="796"/>
      <c r="AG388" s="1317"/>
      <c r="AH388" s="1686"/>
      <c r="AK388" s="1319"/>
      <c r="AL388" s="1319"/>
      <c r="AM388" s="1320"/>
      <c r="AN388" s="745"/>
    </row>
    <row r="389" spans="1:47" s="1514" customFormat="1" ht="25.5">
      <c r="A389" s="423">
        <v>13</v>
      </c>
      <c r="B389" s="1306" t="s">
        <v>1010</v>
      </c>
      <c r="C389" s="1306"/>
      <c r="D389" s="1306"/>
      <c r="E389" s="1306"/>
      <c r="F389" s="1306"/>
      <c r="G389" s="1310" t="s">
        <v>49</v>
      </c>
      <c r="H389" s="791">
        <v>2018</v>
      </c>
      <c r="I389" s="791"/>
      <c r="J389" s="792">
        <v>2019</v>
      </c>
      <c r="K389" s="792"/>
      <c r="L389" s="792"/>
      <c r="M389" s="423"/>
      <c r="N389" s="796">
        <v>3000</v>
      </c>
      <c r="O389" s="796"/>
      <c r="P389" s="796">
        <v>3000</v>
      </c>
      <c r="Q389" s="796"/>
      <c r="R389" s="796"/>
      <c r="S389" s="796"/>
      <c r="T389" s="796">
        <v>3000</v>
      </c>
      <c r="U389" s="796">
        <v>3000</v>
      </c>
      <c r="V389" s="776">
        <f>VLOOKUP($B389,QD!$B$9:$L$316,10,0)</f>
        <v>1500</v>
      </c>
      <c r="W389" s="776">
        <v>1500</v>
      </c>
      <c r="X389" s="776">
        <v>50</v>
      </c>
      <c r="Y389" s="796">
        <v>1500</v>
      </c>
      <c r="Z389" s="776">
        <f t="shared" si="234"/>
        <v>3000</v>
      </c>
      <c r="AA389" s="775">
        <f t="shared" si="245"/>
        <v>3000</v>
      </c>
      <c r="AB389" s="775">
        <f t="shared" si="246"/>
        <v>3000</v>
      </c>
      <c r="AC389" s="775">
        <f t="shared" si="247"/>
        <v>3000</v>
      </c>
      <c r="AD389" s="775">
        <f t="shared" si="248"/>
        <v>3000</v>
      </c>
      <c r="AE389" s="775">
        <f t="shared" si="249"/>
        <v>0</v>
      </c>
      <c r="AF389" s="796"/>
      <c r="AG389" s="782"/>
      <c r="AH389" s="1325" t="s">
        <v>639</v>
      </c>
      <c r="AK389" s="1515" t="s">
        <v>1952</v>
      </c>
      <c r="AL389" s="1515" t="s">
        <v>164</v>
      </c>
      <c r="AM389" s="1516"/>
      <c r="AN389" s="745"/>
    </row>
    <row r="390" spans="1:47" s="1514" customFormat="1" ht="85.5" customHeight="1">
      <c r="A390" s="423">
        <v>14</v>
      </c>
      <c r="B390" s="1321" t="s">
        <v>580</v>
      </c>
      <c r="C390" s="1321"/>
      <c r="D390" s="1321"/>
      <c r="E390" s="1321"/>
      <c r="F390" s="1321"/>
      <c r="G390" s="423" t="s">
        <v>542</v>
      </c>
      <c r="H390" s="791">
        <v>2018</v>
      </c>
      <c r="I390" s="791"/>
      <c r="J390" s="792">
        <v>2019</v>
      </c>
      <c r="K390" s="792"/>
      <c r="L390" s="792"/>
      <c r="M390" s="1312" t="s">
        <v>1016</v>
      </c>
      <c r="N390" s="957">
        <v>4171</v>
      </c>
      <c r="O390" s="957"/>
      <c r="P390" s="957">
        <f>N390</f>
        <v>4171</v>
      </c>
      <c r="Q390" s="957">
        <v>0</v>
      </c>
      <c r="R390" s="957"/>
      <c r="S390" s="957">
        <v>0</v>
      </c>
      <c r="T390" s="957">
        <v>4171</v>
      </c>
      <c r="U390" s="957">
        <v>4171</v>
      </c>
      <c r="V390" s="776">
        <f>VLOOKUP($B390,QD!$B$9:$L$316,10,0)</f>
        <v>2086</v>
      </c>
      <c r="W390" s="776">
        <v>2085.5</v>
      </c>
      <c r="X390" s="776">
        <v>50</v>
      </c>
      <c r="Y390" s="796">
        <v>1800</v>
      </c>
      <c r="Z390" s="776">
        <f t="shared" si="234"/>
        <v>3886</v>
      </c>
      <c r="AA390" s="775">
        <f t="shared" si="245"/>
        <v>3886</v>
      </c>
      <c r="AB390" s="775">
        <f t="shared" si="246"/>
        <v>3886</v>
      </c>
      <c r="AC390" s="775">
        <f t="shared" si="247"/>
        <v>3886</v>
      </c>
      <c r="AD390" s="775">
        <f t="shared" si="248"/>
        <v>4171</v>
      </c>
      <c r="AE390" s="775">
        <f t="shared" si="249"/>
        <v>285</v>
      </c>
      <c r="AF390" s="796"/>
      <c r="AG390" s="782"/>
      <c r="AH390" s="1590"/>
      <c r="AK390" s="1515" t="s">
        <v>542</v>
      </c>
      <c r="AL390" s="1515" t="s">
        <v>164</v>
      </c>
      <c r="AM390" s="1516"/>
      <c r="AN390" s="745"/>
    </row>
    <row r="391" spans="1:47" s="1514" customFormat="1" ht="38.25">
      <c r="A391" s="423">
        <v>15</v>
      </c>
      <c r="B391" s="1306" t="s">
        <v>1034</v>
      </c>
      <c r="C391" s="1306"/>
      <c r="D391" s="1306"/>
      <c r="E391" s="1306"/>
      <c r="F391" s="1306"/>
      <c r="G391" s="1310" t="s">
        <v>10</v>
      </c>
      <c r="H391" s="791">
        <v>2018</v>
      </c>
      <c r="I391" s="791"/>
      <c r="J391" s="792">
        <v>2020</v>
      </c>
      <c r="K391" s="792"/>
      <c r="L391" s="792"/>
      <c r="M391" s="423"/>
      <c r="N391" s="796">
        <v>33795</v>
      </c>
      <c r="O391" s="796"/>
      <c r="P391" s="796">
        <v>33795</v>
      </c>
      <c r="Q391" s="796"/>
      <c r="R391" s="796"/>
      <c r="S391" s="796"/>
      <c r="T391" s="796">
        <v>30415.5</v>
      </c>
      <c r="U391" s="796">
        <f>P391*0.9</f>
        <v>30415.5</v>
      </c>
      <c r="V391" s="776">
        <f>VLOOKUP($B391,QD!$B$9:$L$316,10,0)</f>
        <v>9125</v>
      </c>
      <c r="W391" s="776">
        <v>9124.65</v>
      </c>
      <c r="X391" s="776">
        <v>30</v>
      </c>
      <c r="Y391" s="796">
        <v>21284</v>
      </c>
      <c r="Z391" s="776">
        <f t="shared" si="234"/>
        <v>30409</v>
      </c>
      <c r="AA391" s="775">
        <f t="shared" si="245"/>
        <v>30409</v>
      </c>
      <c r="AB391" s="775">
        <f t="shared" si="246"/>
        <v>30409</v>
      </c>
      <c r="AC391" s="775">
        <f t="shared" si="247"/>
        <v>30409</v>
      </c>
      <c r="AD391" s="775">
        <f t="shared" si="248"/>
        <v>30415.5</v>
      </c>
      <c r="AE391" s="775">
        <f t="shared" si="249"/>
        <v>6.5</v>
      </c>
      <c r="AF391" s="796"/>
      <c r="AG391" s="782"/>
      <c r="AH391" s="1325" t="s">
        <v>699</v>
      </c>
      <c r="AK391" s="1515" t="s">
        <v>1976</v>
      </c>
      <c r="AL391" s="1515" t="s">
        <v>164</v>
      </c>
      <c r="AM391" s="1516"/>
      <c r="AN391" s="745" t="s">
        <v>2087</v>
      </c>
    </row>
    <row r="392" spans="1:47" s="1322" customFormat="1" ht="39.75" customHeight="1">
      <c r="A392" s="423">
        <v>16</v>
      </c>
      <c r="B392" s="1306" t="s">
        <v>687</v>
      </c>
      <c r="G392" s="1310" t="s">
        <v>17</v>
      </c>
      <c r="H392" s="1323">
        <v>2018</v>
      </c>
      <c r="I392" s="1323"/>
      <c r="J392" s="1324">
        <v>2020</v>
      </c>
      <c r="M392" s="423"/>
      <c r="N392" s="796">
        <v>5000</v>
      </c>
      <c r="O392" s="796"/>
      <c r="P392" s="796">
        <v>1500</v>
      </c>
      <c r="Q392" s="796"/>
      <c r="R392" s="796"/>
      <c r="S392" s="796"/>
      <c r="T392" s="796">
        <v>1500</v>
      </c>
      <c r="U392" s="796">
        <v>1500</v>
      </c>
      <c r="V392" s="776">
        <f>VLOOKUP($B392,QD!$B$9:$L$316,10,0)</f>
        <v>1500</v>
      </c>
      <c r="W392" s="776">
        <v>1500</v>
      </c>
      <c r="X392" s="776">
        <v>30</v>
      </c>
      <c r="Y392" s="796"/>
      <c r="Z392" s="776">
        <f t="shared" si="234"/>
        <v>1500</v>
      </c>
      <c r="AA392" s="775">
        <f t="shared" si="245"/>
        <v>1500</v>
      </c>
      <c r="AB392" s="775">
        <f t="shared" si="246"/>
        <v>1500</v>
      </c>
      <c r="AC392" s="775">
        <f t="shared" si="247"/>
        <v>1500</v>
      </c>
      <c r="AD392" s="775">
        <f t="shared" ref="AD392" si="250">T392</f>
        <v>1500</v>
      </c>
      <c r="AE392" s="775">
        <f t="shared" ref="AE392" si="251">U392-Z392</f>
        <v>0</v>
      </c>
      <c r="AF392" s="796"/>
      <c r="AG392" s="782"/>
      <c r="AH392" s="1325" t="s">
        <v>1620</v>
      </c>
      <c r="AI392" s="1322" t="s">
        <v>683</v>
      </c>
      <c r="AK392" s="1326" t="s">
        <v>1953</v>
      </c>
      <c r="AL392" s="1326"/>
      <c r="AM392" s="1327"/>
      <c r="AN392" s="745"/>
    </row>
    <row r="393" spans="1:47" s="1322" customFormat="1" ht="51">
      <c r="A393" s="423">
        <v>17</v>
      </c>
      <c r="B393" s="1306" t="s">
        <v>1030</v>
      </c>
      <c r="G393" s="1310" t="s">
        <v>10</v>
      </c>
      <c r="H393" s="1323">
        <v>2018</v>
      </c>
      <c r="I393" s="1323"/>
      <c r="J393" s="1324">
        <v>2020</v>
      </c>
      <c r="M393" s="423" t="s">
        <v>682</v>
      </c>
      <c r="N393" s="796">
        <v>8710</v>
      </c>
      <c r="O393" s="796"/>
      <c r="P393" s="796">
        <v>8710</v>
      </c>
      <c r="Q393" s="796"/>
      <c r="R393" s="796"/>
      <c r="S393" s="796"/>
      <c r="T393" s="796">
        <v>8710</v>
      </c>
      <c r="U393" s="796">
        <v>8710</v>
      </c>
      <c r="V393" s="776">
        <f>VLOOKUP($B393,QD!$B$9:$L$316,10,0)</f>
        <v>2612</v>
      </c>
      <c r="W393" s="776">
        <v>2613</v>
      </c>
      <c r="X393" s="776">
        <v>30</v>
      </c>
      <c r="Y393" s="796"/>
      <c r="Z393" s="776">
        <f t="shared" si="234"/>
        <v>2612</v>
      </c>
      <c r="AA393" s="775">
        <f t="shared" si="245"/>
        <v>2612</v>
      </c>
      <c r="AB393" s="775">
        <f t="shared" si="246"/>
        <v>2612</v>
      </c>
      <c r="AC393" s="775">
        <f t="shared" si="247"/>
        <v>2612</v>
      </c>
      <c r="AD393" s="775">
        <f t="shared" si="248"/>
        <v>8710</v>
      </c>
      <c r="AE393" s="775">
        <f t="shared" si="249"/>
        <v>6098</v>
      </c>
      <c r="AF393" s="796"/>
      <c r="AG393" s="782"/>
      <c r="AH393" s="1325" t="s">
        <v>686</v>
      </c>
      <c r="AI393" s="1322" t="s">
        <v>683</v>
      </c>
      <c r="AK393" s="1326" t="s">
        <v>1954</v>
      </c>
      <c r="AL393" s="1326" t="s">
        <v>164</v>
      </c>
      <c r="AM393" s="1327"/>
      <c r="AN393" s="745"/>
    </row>
    <row r="394" spans="1:47" s="1173" customFormat="1" ht="38.25">
      <c r="A394" s="1328">
        <v>19</v>
      </c>
      <c r="B394" s="1329" t="s">
        <v>739</v>
      </c>
      <c r="C394" s="802"/>
      <c r="D394" s="802"/>
      <c r="E394" s="802"/>
      <c r="F394" s="802"/>
      <c r="G394" s="1330" t="s">
        <v>33</v>
      </c>
      <c r="H394" s="1331">
        <v>2015</v>
      </c>
      <c r="I394" s="1331"/>
      <c r="J394" s="1332">
        <v>2018</v>
      </c>
      <c r="K394" s="802"/>
      <c r="L394" s="802"/>
      <c r="M394" s="1687" t="s">
        <v>740</v>
      </c>
      <c r="N394" s="1333">
        <v>5210</v>
      </c>
      <c r="O394" s="1333"/>
      <c r="P394" s="1333">
        <v>2000</v>
      </c>
      <c r="Q394" s="1333">
        <v>3210</v>
      </c>
      <c r="R394" s="1333"/>
      <c r="S394" s="1333">
        <v>0</v>
      </c>
      <c r="T394" s="1333">
        <v>2000</v>
      </c>
      <c r="U394" s="1333">
        <v>2000</v>
      </c>
      <c r="V394" s="821">
        <f>VLOOKUP($B394,QD!$B$9:$L$316,10,0)</f>
        <v>2000</v>
      </c>
      <c r="W394" s="821">
        <v>2000</v>
      </c>
      <c r="X394" s="821">
        <v>100</v>
      </c>
      <c r="Y394" s="1688"/>
      <c r="Z394" s="821">
        <f t="shared" si="234"/>
        <v>2000</v>
      </c>
      <c r="AA394" s="968">
        <f t="shared" si="245"/>
        <v>5210</v>
      </c>
      <c r="AB394" s="968">
        <f t="shared" si="246"/>
        <v>2000</v>
      </c>
      <c r="AC394" s="968">
        <f t="shared" si="247"/>
        <v>2000</v>
      </c>
      <c r="AD394" s="968">
        <f t="shared" si="248"/>
        <v>2000</v>
      </c>
      <c r="AE394" s="968">
        <f t="shared" si="249"/>
        <v>0</v>
      </c>
      <c r="AF394" s="1688"/>
      <c r="AG394" s="1688"/>
      <c r="AH394" s="802" t="s">
        <v>741</v>
      </c>
      <c r="AK394" s="1174" t="s">
        <v>1757</v>
      </c>
      <c r="AL394" s="1174"/>
      <c r="AM394" s="832"/>
      <c r="AN394" s="745" t="s">
        <v>2087</v>
      </c>
    </row>
    <row r="395" spans="1:47" s="1689" customFormat="1">
      <c r="A395" s="1334" t="s">
        <v>471</v>
      </c>
      <c r="B395" s="1335" t="s">
        <v>1296</v>
      </c>
      <c r="C395" s="1335"/>
      <c r="D395" s="1335"/>
      <c r="E395" s="1335"/>
      <c r="F395" s="1335"/>
      <c r="G395" s="1336"/>
      <c r="H395" s="1337"/>
      <c r="I395" s="1337"/>
      <c r="J395" s="1337"/>
      <c r="K395" s="1337"/>
      <c r="L395" s="1337"/>
      <c r="M395" s="1337"/>
      <c r="N395" s="1338">
        <f>SUBTOTAL(109,N396:N457)</f>
        <v>598346</v>
      </c>
      <c r="O395" s="1338">
        <f t="shared" ref="O395:AE395" si="252">SUBTOTAL(109,O396:O457)</f>
        <v>0</v>
      </c>
      <c r="P395" s="1338">
        <f t="shared" si="252"/>
        <v>378009</v>
      </c>
      <c r="Q395" s="1338">
        <f t="shared" si="252"/>
        <v>0</v>
      </c>
      <c r="R395" s="1338">
        <f t="shared" si="252"/>
        <v>0</v>
      </c>
      <c r="S395" s="1338">
        <f t="shared" si="252"/>
        <v>0</v>
      </c>
      <c r="T395" s="1338">
        <f t="shared" si="252"/>
        <v>0</v>
      </c>
      <c r="U395" s="1338">
        <f t="shared" si="252"/>
        <v>0</v>
      </c>
      <c r="V395" s="1338">
        <f t="shared" si="252"/>
        <v>0</v>
      </c>
      <c r="W395" s="1338">
        <f t="shared" si="252"/>
        <v>0</v>
      </c>
      <c r="X395" s="1338">
        <f t="shared" si="252"/>
        <v>0</v>
      </c>
      <c r="Y395" s="1338">
        <f t="shared" si="252"/>
        <v>0</v>
      </c>
      <c r="Z395" s="1338">
        <f t="shared" si="252"/>
        <v>0</v>
      </c>
      <c r="AA395" s="1338">
        <f t="shared" si="252"/>
        <v>0</v>
      </c>
      <c r="AB395" s="1338">
        <f t="shared" si="252"/>
        <v>0</v>
      </c>
      <c r="AC395" s="1338">
        <f t="shared" si="252"/>
        <v>0</v>
      </c>
      <c r="AD395" s="1338">
        <f t="shared" si="252"/>
        <v>243825</v>
      </c>
      <c r="AE395" s="1338">
        <f t="shared" si="252"/>
        <v>243825</v>
      </c>
      <c r="AF395" s="1338"/>
      <c r="AG395" s="1103"/>
      <c r="AH395" s="1105"/>
      <c r="AK395" s="1690"/>
      <c r="AL395" s="1690"/>
      <c r="AM395" s="1691"/>
      <c r="AN395" s="745"/>
      <c r="AO395" s="1105"/>
      <c r="AP395" s="1588"/>
      <c r="AQ395" s="1339"/>
      <c r="AS395" s="1588"/>
      <c r="AT395" s="1588"/>
      <c r="AU395" s="1598"/>
    </row>
    <row r="396" spans="1:47" ht="34.5" customHeight="1">
      <c r="A396" s="1340" t="s">
        <v>821</v>
      </c>
      <c r="B396" s="1341" t="s">
        <v>1297</v>
      </c>
      <c r="C396" s="1341"/>
      <c r="D396" s="1341"/>
      <c r="E396" s="1341"/>
      <c r="F396" s="1341"/>
      <c r="G396" s="1342"/>
      <c r="H396" s="892"/>
      <c r="I396" s="892"/>
      <c r="J396" s="892"/>
      <c r="K396" s="892"/>
      <c r="L396" s="892"/>
      <c r="M396" s="892"/>
      <c r="N396" s="1343">
        <f>SUBTOTAL(109,N397:N410)</f>
        <v>137200</v>
      </c>
      <c r="O396" s="1343"/>
      <c r="P396" s="1343">
        <f t="shared" ref="P396:AE396" si="253">SUBTOTAL(109,P397:P410)</f>
        <v>74920</v>
      </c>
      <c r="Q396" s="1343"/>
      <c r="R396" s="1343"/>
      <c r="S396" s="1343"/>
      <c r="T396" s="1343"/>
      <c r="U396" s="1343"/>
      <c r="V396" s="1343"/>
      <c r="W396" s="1343"/>
      <c r="X396" s="1343"/>
      <c r="Y396" s="1343"/>
      <c r="Z396" s="1343"/>
      <c r="AA396" s="1343">
        <f t="shared" si="253"/>
        <v>0</v>
      </c>
      <c r="AB396" s="1343"/>
      <c r="AC396" s="1343">
        <f t="shared" si="253"/>
        <v>0</v>
      </c>
      <c r="AD396" s="1343">
        <f t="shared" si="253"/>
        <v>51352</v>
      </c>
      <c r="AE396" s="1343">
        <f t="shared" si="253"/>
        <v>51352</v>
      </c>
      <c r="AF396" s="1343"/>
      <c r="AG396" s="1103"/>
      <c r="AH396" s="1105"/>
      <c r="AK396" s="747"/>
      <c r="AL396" s="747"/>
      <c r="AM396" s="746"/>
      <c r="AO396" s="1105"/>
      <c r="AP396" s="832"/>
      <c r="AQ396" s="1344"/>
      <c r="AS396" s="832"/>
      <c r="AT396" s="832"/>
      <c r="AU396" s="834"/>
    </row>
    <row r="397" spans="1:47" ht="51">
      <c r="A397" s="994">
        <v>1</v>
      </c>
      <c r="B397" s="1345" t="s">
        <v>1298</v>
      </c>
      <c r="C397" s="1345"/>
      <c r="D397" s="1345"/>
      <c r="E397" s="1345"/>
      <c r="F397" s="1345"/>
      <c r="G397" s="1346" t="s">
        <v>17</v>
      </c>
      <c r="H397" s="1000">
        <v>2019</v>
      </c>
      <c r="I397" s="1000"/>
      <c r="J397" s="1000">
        <v>2021</v>
      </c>
      <c r="K397" s="1000"/>
      <c r="L397" s="1000"/>
      <c r="M397" s="647" t="s">
        <v>2134</v>
      </c>
      <c r="N397" s="1348">
        <v>9000</v>
      </c>
      <c r="O397" s="1348"/>
      <c r="P397" s="1349">
        <v>9000</v>
      </c>
      <c r="Q397" s="1349"/>
      <c r="R397" s="1349"/>
      <c r="S397" s="1349"/>
      <c r="T397" s="1349"/>
      <c r="U397" s="1349"/>
      <c r="V397" s="1349"/>
      <c r="W397" s="1349"/>
      <c r="X397" s="1349"/>
      <c r="Y397" s="1349"/>
      <c r="Z397" s="1349"/>
      <c r="AA397" s="1349"/>
      <c r="AB397" s="1349"/>
      <c r="AC397" s="1349"/>
      <c r="AD397" s="1349">
        <f>P397*0.6</f>
        <v>5400</v>
      </c>
      <c r="AE397" s="1349">
        <f>AD397</f>
        <v>5400</v>
      </c>
      <c r="AF397" s="1017"/>
      <c r="AG397" s="1103"/>
      <c r="AH397" s="1350" t="s">
        <v>1299</v>
      </c>
      <c r="AK397" s="1326" t="s">
        <v>1953</v>
      </c>
      <c r="AL397" s="747" t="s">
        <v>164</v>
      </c>
      <c r="AM397" s="746"/>
      <c r="AO397" s="1019" t="s">
        <v>815</v>
      </c>
      <c r="AP397" s="1692" t="s">
        <v>1300</v>
      </c>
      <c r="AQ397" s="1351" t="s">
        <v>1301</v>
      </c>
      <c r="AS397" s="832"/>
      <c r="AT397" s="832"/>
      <c r="AU397" s="834"/>
    </row>
    <row r="398" spans="1:47" ht="102">
      <c r="A398" s="1008">
        <v>2</v>
      </c>
      <c r="B398" s="1352" t="s">
        <v>1302</v>
      </c>
      <c r="C398" s="1352"/>
      <c r="D398" s="1352"/>
      <c r="E398" s="1352"/>
      <c r="F398" s="1352"/>
      <c r="G398" s="996" t="s">
        <v>17</v>
      </c>
      <c r="H398" s="1010">
        <v>2018</v>
      </c>
      <c r="I398" s="1010"/>
      <c r="J398" s="1010">
        <v>2020</v>
      </c>
      <c r="K398" s="1010"/>
      <c r="L398" s="1010"/>
      <c r="M398" s="516" t="s">
        <v>1611</v>
      </c>
      <c r="N398" s="1353">
        <v>45000</v>
      </c>
      <c r="O398" s="1353"/>
      <c r="P398" s="1353">
        <v>16000</v>
      </c>
      <c r="Q398" s="1353"/>
      <c r="R398" s="1353"/>
      <c r="S398" s="1353"/>
      <c r="T398" s="1353"/>
      <c r="U398" s="1353"/>
      <c r="V398" s="1353"/>
      <c r="W398" s="1353"/>
      <c r="X398" s="1353"/>
      <c r="Y398" s="1353"/>
      <c r="Z398" s="1353"/>
      <c r="AA398" s="1353"/>
      <c r="AB398" s="1353"/>
      <c r="AC398" s="1353"/>
      <c r="AD398" s="1354">
        <f>P398*1</f>
        <v>16000</v>
      </c>
      <c r="AE398" s="1354">
        <f>AD398</f>
        <v>16000</v>
      </c>
      <c r="AF398" s="1355"/>
      <c r="AG398" s="1356"/>
      <c r="AH398" s="859" t="s">
        <v>1830</v>
      </c>
      <c r="AI398" s="1693" t="s">
        <v>1831</v>
      </c>
      <c r="AK398" s="747" t="s">
        <v>1991</v>
      </c>
      <c r="AL398" s="747" t="s">
        <v>2061</v>
      </c>
      <c r="AM398" s="746"/>
      <c r="AN398" s="745" t="s">
        <v>2087</v>
      </c>
      <c r="AO398" s="996" t="s">
        <v>972</v>
      </c>
      <c r="AP398" s="832" t="s">
        <v>1303</v>
      </c>
      <c r="AQ398" s="1357" t="s">
        <v>1304</v>
      </c>
      <c r="AS398" s="832"/>
      <c r="AT398" s="832"/>
      <c r="AU398" s="834"/>
    </row>
    <row r="399" spans="1:47" ht="51">
      <c r="A399" s="994">
        <v>3</v>
      </c>
      <c r="B399" s="995" t="s">
        <v>1305</v>
      </c>
      <c r="C399" s="995"/>
      <c r="D399" s="995"/>
      <c r="E399" s="995"/>
      <c r="F399" s="995"/>
      <c r="G399" s="996" t="s">
        <v>44</v>
      </c>
      <c r="H399" s="1010">
        <v>2019</v>
      </c>
      <c r="I399" s="1010"/>
      <c r="J399" s="1010">
        <v>2021</v>
      </c>
      <c r="K399" s="1010"/>
      <c r="L399" s="1010"/>
      <c r="M399" s="516" t="s">
        <v>1306</v>
      </c>
      <c r="N399" s="1355">
        <v>5000</v>
      </c>
      <c r="O399" s="1355"/>
      <c r="P399" s="1355">
        <v>3000</v>
      </c>
      <c r="Q399" s="1355"/>
      <c r="R399" s="1355"/>
      <c r="S399" s="1355"/>
      <c r="T399" s="1355"/>
      <c r="U399" s="1355"/>
      <c r="V399" s="1355"/>
      <c r="W399" s="1355"/>
      <c r="X399" s="1355"/>
      <c r="Y399" s="1355"/>
      <c r="Z399" s="1355"/>
      <c r="AA399" s="1355"/>
      <c r="AB399" s="1355"/>
      <c r="AC399" s="1355"/>
      <c r="AD399" s="1349">
        <f>P399*0.6</f>
        <v>1800</v>
      </c>
      <c r="AE399" s="1349">
        <f>AD399</f>
        <v>1800</v>
      </c>
      <c r="AF399" s="1355"/>
      <c r="AG399" s="1103"/>
      <c r="AH399" s="1358" t="s">
        <v>1307</v>
      </c>
      <c r="AK399" s="747" t="s">
        <v>1955</v>
      </c>
      <c r="AL399" s="747" t="s">
        <v>2061</v>
      </c>
      <c r="AM399" s="746" t="s">
        <v>2081</v>
      </c>
      <c r="AN399" s="745" t="s">
        <v>2087</v>
      </c>
      <c r="AO399" s="996" t="s">
        <v>1308</v>
      </c>
      <c r="AP399" s="832" t="s">
        <v>1309</v>
      </c>
      <c r="AQ399" s="1357" t="s">
        <v>1310</v>
      </c>
      <c r="AS399" s="832"/>
      <c r="AT399" s="832"/>
      <c r="AU399" s="834"/>
    </row>
    <row r="400" spans="1:47" ht="51">
      <c r="A400" s="1008">
        <v>4</v>
      </c>
      <c r="B400" s="995" t="s">
        <v>1311</v>
      </c>
      <c r="C400" s="995"/>
      <c r="D400" s="995"/>
      <c r="E400" s="995"/>
      <c r="F400" s="995"/>
      <c r="G400" s="996" t="s">
        <v>10</v>
      </c>
      <c r="H400" s="1010">
        <v>2019</v>
      </c>
      <c r="I400" s="1010"/>
      <c r="J400" s="1010">
        <v>2021</v>
      </c>
      <c r="K400" s="1010"/>
      <c r="L400" s="1010"/>
      <c r="M400" s="516" t="s">
        <v>1312</v>
      </c>
      <c r="N400" s="998">
        <v>8500</v>
      </c>
      <c r="O400" s="998"/>
      <c r="P400" s="998">
        <v>5100</v>
      </c>
      <c r="Q400" s="998"/>
      <c r="R400" s="998"/>
      <c r="S400" s="998"/>
      <c r="T400" s="998"/>
      <c r="U400" s="998"/>
      <c r="V400" s="998"/>
      <c r="W400" s="998"/>
      <c r="X400" s="998"/>
      <c r="Y400" s="998"/>
      <c r="Z400" s="998"/>
      <c r="AA400" s="998"/>
      <c r="AB400" s="998"/>
      <c r="AC400" s="998"/>
      <c r="AD400" s="1349">
        <f t="shared" ref="AD400:AD410" si="254">P400*0.6</f>
        <v>3060</v>
      </c>
      <c r="AE400" s="1349">
        <f t="shared" ref="AE400:AE410" si="255">AD400</f>
        <v>3060</v>
      </c>
      <c r="AF400" s="1355"/>
      <c r="AG400" s="1103"/>
      <c r="AH400" s="1358" t="s">
        <v>1307</v>
      </c>
      <c r="AK400" s="747" t="s">
        <v>1948</v>
      </c>
      <c r="AL400" s="747" t="s">
        <v>2061</v>
      </c>
      <c r="AM400" s="746"/>
      <c r="AN400" s="745" t="s">
        <v>2087</v>
      </c>
      <c r="AO400" s="996" t="s">
        <v>880</v>
      </c>
      <c r="AP400" s="832" t="s">
        <v>1313</v>
      </c>
      <c r="AQ400" s="1357" t="s">
        <v>1314</v>
      </c>
      <c r="AS400" s="832"/>
      <c r="AT400" s="832"/>
      <c r="AU400" s="834"/>
    </row>
    <row r="401" spans="1:47" ht="52.5" customHeight="1">
      <c r="A401" s="994">
        <v>5</v>
      </c>
      <c r="B401" s="995" t="s">
        <v>1315</v>
      </c>
      <c r="C401" s="995"/>
      <c r="D401" s="995"/>
      <c r="E401" s="995"/>
      <c r="F401" s="995"/>
      <c r="G401" s="996" t="s">
        <v>17</v>
      </c>
      <c r="H401" s="1010">
        <v>2019</v>
      </c>
      <c r="I401" s="1010"/>
      <c r="J401" s="1010">
        <v>2021</v>
      </c>
      <c r="K401" s="1010"/>
      <c r="L401" s="1010"/>
      <c r="M401" s="1359" t="s">
        <v>1870</v>
      </c>
      <c r="N401" s="998">
        <v>15000</v>
      </c>
      <c r="O401" s="998"/>
      <c r="P401" s="998">
        <v>9000</v>
      </c>
      <c r="Q401" s="998"/>
      <c r="R401" s="998"/>
      <c r="S401" s="998"/>
      <c r="T401" s="998"/>
      <c r="U401" s="998"/>
      <c r="V401" s="998"/>
      <c r="W401" s="998"/>
      <c r="X401" s="998"/>
      <c r="Y401" s="998"/>
      <c r="Z401" s="998"/>
      <c r="AA401" s="998"/>
      <c r="AB401" s="998"/>
      <c r="AC401" s="998"/>
      <c r="AD401" s="1349">
        <f t="shared" si="254"/>
        <v>5400</v>
      </c>
      <c r="AE401" s="1349">
        <f t="shared" si="255"/>
        <v>5400</v>
      </c>
      <c r="AF401" s="1355"/>
      <c r="AG401" s="1103"/>
      <c r="AH401" s="1358" t="s">
        <v>1307</v>
      </c>
      <c r="AK401" s="995" t="s">
        <v>2000</v>
      </c>
      <c r="AL401" s="747" t="s">
        <v>2061</v>
      </c>
      <c r="AM401" s="746"/>
      <c r="AN401" s="745" t="s">
        <v>2087</v>
      </c>
      <c r="AO401" s="996" t="s">
        <v>588</v>
      </c>
      <c r="AP401" s="832" t="s">
        <v>1313</v>
      </c>
      <c r="AQ401" s="1357" t="s">
        <v>1316</v>
      </c>
      <c r="AS401" s="832"/>
      <c r="AT401" s="832"/>
      <c r="AU401" s="834"/>
    </row>
    <row r="402" spans="1:47" ht="102">
      <c r="A402" s="1008">
        <v>6</v>
      </c>
      <c r="B402" s="995" t="s">
        <v>1317</v>
      </c>
      <c r="C402" s="995"/>
      <c r="D402" s="995"/>
      <c r="E402" s="995"/>
      <c r="F402" s="995"/>
      <c r="G402" s="996" t="s">
        <v>44</v>
      </c>
      <c r="H402" s="1010">
        <v>2019</v>
      </c>
      <c r="I402" s="1010"/>
      <c r="J402" s="1010">
        <v>2021</v>
      </c>
      <c r="K402" s="1010"/>
      <c r="L402" s="1010"/>
      <c r="M402" s="1359" t="s">
        <v>1871</v>
      </c>
      <c r="N402" s="998">
        <v>6000</v>
      </c>
      <c r="O402" s="998"/>
      <c r="P402" s="998">
        <v>3600</v>
      </c>
      <c r="Q402" s="998"/>
      <c r="R402" s="998"/>
      <c r="S402" s="998"/>
      <c r="T402" s="998"/>
      <c r="U402" s="998"/>
      <c r="V402" s="998"/>
      <c r="W402" s="998"/>
      <c r="X402" s="998"/>
      <c r="Y402" s="998"/>
      <c r="Z402" s="998"/>
      <c r="AA402" s="998"/>
      <c r="AB402" s="998"/>
      <c r="AC402" s="998"/>
      <c r="AD402" s="1349">
        <f t="shared" si="254"/>
        <v>2160</v>
      </c>
      <c r="AE402" s="1349">
        <f t="shared" si="255"/>
        <v>2160</v>
      </c>
      <c r="AF402" s="1355"/>
      <c r="AG402" s="1103"/>
      <c r="AH402" s="1694" t="s">
        <v>1928</v>
      </c>
      <c r="AI402" s="1694" t="s">
        <v>1928</v>
      </c>
      <c r="AK402" s="747" t="s">
        <v>1950</v>
      </c>
      <c r="AL402" s="747" t="s">
        <v>2061</v>
      </c>
      <c r="AM402" s="746"/>
      <c r="AN402" s="745" t="s">
        <v>2087</v>
      </c>
      <c r="AO402" s="996" t="s">
        <v>930</v>
      </c>
      <c r="AP402" s="832" t="s">
        <v>1313</v>
      </c>
      <c r="AQ402" s="1357" t="s">
        <v>1318</v>
      </c>
      <c r="AS402" s="832"/>
      <c r="AT402" s="832"/>
      <c r="AU402" s="834"/>
    </row>
    <row r="403" spans="1:47" ht="63.75">
      <c r="A403" s="994">
        <v>7</v>
      </c>
      <c r="B403" s="995" t="s">
        <v>1319</v>
      </c>
      <c r="C403" s="995"/>
      <c r="D403" s="995"/>
      <c r="E403" s="995"/>
      <c r="F403" s="995"/>
      <c r="G403" s="996" t="s">
        <v>17</v>
      </c>
      <c r="H403" s="1010">
        <v>2019</v>
      </c>
      <c r="I403" s="1010"/>
      <c r="J403" s="1010">
        <v>2021</v>
      </c>
      <c r="K403" s="1010"/>
      <c r="L403" s="1010"/>
      <c r="M403" s="1359" t="s">
        <v>1872</v>
      </c>
      <c r="N403" s="854">
        <v>5000</v>
      </c>
      <c r="O403" s="854"/>
      <c r="P403" s="1360">
        <f t="shared" ref="P403:P410" si="256">N403*0.6</f>
        <v>3000</v>
      </c>
      <c r="Q403" s="1360"/>
      <c r="R403" s="1360"/>
      <c r="S403" s="1360"/>
      <c r="T403" s="1360"/>
      <c r="U403" s="1360"/>
      <c r="V403" s="1360"/>
      <c r="W403" s="1360"/>
      <c r="X403" s="1360"/>
      <c r="Y403" s="1360"/>
      <c r="Z403" s="1360"/>
      <c r="AA403" s="1360"/>
      <c r="AB403" s="1360"/>
      <c r="AC403" s="1360"/>
      <c r="AD403" s="1349">
        <f t="shared" si="254"/>
        <v>1800</v>
      </c>
      <c r="AE403" s="1349">
        <f t="shared" si="255"/>
        <v>1800</v>
      </c>
      <c r="AF403" s="1355"/>
      <c r="AG403" s="1103"/>
      <c r="AH403" s="1358" t="s">
        <v>1307</v>
      </c>
      <c r="AK403" s="747" t="s">
        <v>1956</v>
      </c>
      <c r="AL403" s="747" t="s">
        <v>2061</v>
      </c>
      <c r="AM403" s="746"/>
      <c r="AN403" s="745" t="s">
        <v>2087</v>
      </c>
      <c r="AO403" s="1361" t="s">
        <v>871</v>
      </c>
      <c r="AP403" s="1019" t="s">
        <v>1320</v>
      </c>
      <c r="AQ403" s="1362" t="s">
        <v>1321</v>
      </c>
      <c r="AS403" s="832"/>
      <c r="AT403" s="832"/>
      <c r="AU403" s="834"/>
    </row>
    <row r="404" spans="1:47" ht="63.75">
      <c r="A404" s="1008">
        <v>8</v>
      </c>
      <c r="B404" s="995" t="s">
        <v>1322</v>
      </c>
      <c r="C404" s="995"/>
      <c r="D404" s="995"/>
      <c r="E404" s="995"/>
      <c r="F404" s="995"/>
      <c r="G404" s="996" t="s">
        <v>17</v>
      </c>
      <c r="H404" s="1010">
        <v>2019</v>
      </c>
      <c r="I404" s="1010"/>
      <c r="J404" s="1010">
        <v>2021</v>
      </c>
      <c r="K404" s="1010"/>
      <c r="L404" s="1010"/>
      <c r="M404" s="1363" t="s">
        <v>1825</v>
      </c>
      <c r="N404" s="854">
        <v>3500</v>
      </c>
      <c r="O404" s="854"/>
      <c r="P404" s="1360">
        <f t="shared" si="256"/>
        <v>2100</v>
      </c>
      <c r="Q404" s="1360"/>
      <c r="R404" s="1360"/>
      <c r="S404" s="1360"/>
      <c r="T404" s="1360"/>
      <c r="U404" s="1360"/>
      <c r="V404" s="1360"/>
      <c r="W404" s="1360"/>
      <c r="X404" s="1360"/>
      <c r="Y404" s="1360"/>
      <c r="Z404" s="1360"/>
      <c r="AA404" s="1360"/>
      <c r="AB404" s="1360"/>
      <c r="AC404" s="1360"/>
      <c r="AD404" s="1349">
        <f t="shared" si="254"/>
        <v>1260</v>
      </c>
      <c r="AE404" s="1349">
        <f t="shared" si="255"/>
        <v>1260</v>
      </c>
      <c r="AF404" s="1355"/>
      <c r="AG404" s="1103"/>
      <c r="AH404" s="1358" t="s">
        <v>1307</v>
      </c>
      <c r="AK404" s="747" t="s">
        <v>1953</v>
      </c>
      <c r="AL404" s="747" t="s">
        <v>2061</v>
      </c>
      <c r="AM404" s="746"/>
      <c r="AN404" s="745" t="s">
        <v>2087</v>
      </c>
      <c r="AO404" s="1361" t="s">
        <v>977</v>
      </c>
      <c r="AP404" s="1019" t="s">
        <v>1320</v>
      </c>
      <c r="AQ404" s="1362" t="s">
        <v>1323</v>
      </c>
      <c r="AS404" s="832"/>
      <c r="AT404" s="832"/>
      <c r="AU404" s="834"/>
    </row>
    <row r="405" spans="1:47" ht="63.75">
      <c r="A405" s="994">
        <v>9</v>
      </c>
      <c r="B405" s="995" t="s">
        <v>1324</v>
      </c>
      <c r="C405" s="995"/>
      <c r="D405" s="995"/>
      <c r="E405" s="995"/>
      <c r="F405" s="995"/>
      <c r="G405" s="996" t="s">
        <v>44</v>
      </c>
      <c r="H405" s="1010">
        <v>2019</v>
      </c>
      <c r="I405" s="1010"/>
      <c r="J405" s="1010">
        <v>2021</v>
      </c>
      <c r="K405" s="1010"/>
      <c r="L405" s="1010"/>
      <c r="M405" s="1364" t="s">
        <v>1873</v>
      </c>
      <c r="N405" s="854">
        <v>5500</v>
      </c>
      <c r="O405" s="854"/>
      <c r="P405" s="1360">
        <f t="shared" si="256"/>
        <v>3300</v>
      </c>
      <c r="Q405" s="1360"/>
      <c r="R405" s="1360"/>
      <c r="S405" s="1360"/>
      <c r="T405" s="1360"/>
      <c r="U405" s="1360"/>
      <c r="V405" s="1360"/>
      <c r="W405" s="1360"/>
      <c r="X405" s="1360"/>
      <c r="Y405" s="1360"/>
      <c r="Z405" s="1360"/>
      <c r="AA405" s="1360"/>
      <c r="AB405" s="1360"/>
      <c r="AC405" s="1360"/>
      <c r="AD405" s="1349">
        <f t="shared" si="254"/>
        <v>1980</v>
      </c>
      <c r="AE405" s="1349">
        <f t="shared" si="255"/>
        <v>1980</v>
      </c>
      <c r="AF405" s="1355"/>
      <c r="AG405" s="1103"/>
      <c r="AH405" s="1365" t="s">
        <v>1325</v>
      </c>
      <c r="AK405" s="747" t="s">
        <v>1957</v>
      </c>
      <c r="AL405" s="747" t="s">
        <v>2061</v>
      </c>
      <c r="AM405" s="746"/>
      <c r="AN405" s="745" t="s">
        <v>2087</v>
      </c>
      <c r="AO405" s="640" t="s">
        <v>1326</v>
      </c>
      <c r="AP405" s="1002" t="s">
        <v>1327</v>
      </c>
      <c r="AQ405" s="1366" t="s">
        <v>1328</v>
      </c>
      <c r="AS405" s="832"/>
      <c r="AT405" s="832"/>
      <c r="AU405" s="834"/>
    </row>
    <row r="406" spans="1:47" s="1592" customFormat="1" ht="51">
      <c r="A406" s="1367">
        <v>10</v>
      </c>
      <c r="B406" s="1368" t="s">
        <v>1329</v>
      </c>
      <c r="C406" s="1368"/>
      <c r="D406" s="1368"/>
      <c r="E406" s="1368"/>
      <c r="F406" s="1368"/>
      <c r="G406" s="1369" t="s">
        <v>10</v>
      </c>
      <c r="H406" s="1370">
        <v>2019</v>
      </c>
      <c r="I406" s="1370"/>
      <c r="J406" s="1370">
        <v>2021</v>
      </c>
      <c r="K406" s="1370"/>
      <c r="L406" s="1370"/>
      <c r="M406" s="1371" t="s">
        <v>1934</v>
      </c>
      <c r="N406" s="1372">
        <v>6700</v>
      </c>
      <c r="O406" s="1372"/>
      <c r="P406" s="1373">
        <f t="shared" si="256"/>
        <v>4020</v>
      </c>
      <c r="Q406" s="1374"/>
      <c r="R406" s="1374"/>
      <c r="S406" s="1374"/>
      <c r="T406" s="1374"/>
      <c r="U406" s="1374"/>
      <c r="V406" s="1374"/>
      <c r="W406" s="1374"/>
      <c r="X406" s="1374"/>
      <c r="Y406" s="1374"/>
      <c r="Z406" s="1374"/>
      <c r="AA406" s="1374"/>
      <c r="AB406" s="1374"/>
      <c r="AC406" s="1374"/>
      <c r="AD406" s="1375">
        <f t="shared" si="254"/>
        <v>2412</v>
      </c>
      <c r="AE406" s="1375">
        <f t="shared" si="255"/>
        <v>2412</v>
      </c>
      <c r="AF406" s="1376"/>
      <c r="AG406" s="1377"/>
      <c r="AH406" s="1695" t="s">
        <v>2089</v>
      </c>
      <c r="AI406" s="1695" t="s">
        <v>1875</v>
      </c>
      <c r="AJ406" s="1695" t="s">
        <v>1876</v>
      </c>
      <c r="AK406" s="1545" t="s">
        <v>1958</v>
      </c>
      <c r="AL406" s="747" t="s">
        <v>2061</v>
      </c>
      <c r="AM406" s="1593"/>
      <c r="AN406" s="745" t="s">
        <v>2087</v>
      </c>
      <c r="AO406" s="1378" t="s">
        <v>880</v>
      </c>
      <c r="AP406" s="1379" t="s">
        <v>1330</v>
      </c>
      <c r="AQ406" s="1380" t="s">
        <v>1331</v>
      </c>
      <c r="AS406" s="1593"/>
      <c r="AT406" s="1593"/>
      <c r="AU406" s="1696"/>
    </row>
    <row r="407" spans="1:47" s="1592" customFormat="1" ht="51">
      <c r="A407" s="1381">
        <v>11</v>
      </c>
      <c r="B407" s="1382" t="s">
        <v>1332</v>
      </c>
      <c r="C407" s="1382"/>
      <c r="D407" s="1382"/>
      <c r="E407" s="1382"/>
      <c r="F407" s="1382"/>
      <c r="G407" s="1369" t="s">
        <v>10</v>
      </c>
      <c r="H407" s="1370">
        <v>2019</v>
      </c>
      <c r="I407" s="1370"/>
      <c r="J407" s="1370">
        <v>2021</v>
      </c>
      <c r="K407" s="1370"/>
      <c r="L407" s="1370"/>
      <c r="M407" s="1371" t="s">
        <v>1935</v>
      </c>
      <c r="N407" s="1383">
        <v>4500</v>
      </c>
      <c r="O407" s="1383"/>
      <c r="P407" s="1373">
        <f t="shared" si="256"/>
        <v>2700</v>
      </c>
      <c r="Q407" s="1374"/>
      <c r="R407" s="1374"/>
      <c r="S407" s="1374"/>
      <c r="T407" s="1374"/>
      <c r="U407" s="1374"/>
      <c r="V407" s="1374"/>
      <c r="W407" s="1374"/>
      <c r="X407" s="1374"/>
      <c r="Y407" s="1374"/>
      <c r="Z407" s="1374"/>
      <c r="AA407" s="1374"/>
      <c r="AB407" s="1374"/>
      <c r="AC407" s="1374"/>
      <c r="AD407" s="1375">
        <f t="shared" si="254"/>
        <v>1620</v>
      </c>
      <c r="AE407" s="1375">
        <f t="shared" si="255"/>
        <v>1620</v>
      </c>
      <c r="AF407" s="1376"/>
      <c r="AG407" s="1377"/>
      <c r="AH407" s="1695" t="s">
        <v>2090</v>
      </c>
      <c r="AI407" s="1695" t="s">
        <v>1933</v>
      </c>
      <c r="AJ407" s="1695" t="s">
        <v>1874</v>
      </c>
      <c r="AK407" s="1545" t="s">
        <v>1958</v>
      </c>
      <c r="AL407" s="747" t="s">
        <v>2061</v>
      </c>
      <c r="AM407" s="1593"/>
      <c r="AN407" s="745" t="s">
        <v>2087</v>
      </c>
      <c r="AO407" s="1378" t="s">
        <v>880</v>
      </c>
      <c r="AP407" s="1379" t="s">
        <v>1330</v>
      </c>
      <c r="AQ407" s="1380" t="s">
        <v>1333</v>
      </c>
      <c r="AS407" s="1593"/>
      <c r="AT407" s="1593"/>
      <c r="AU407" s="1696"/>
    </row>
    <row r="408" spans="1:47" ht="51">
      <c r="A408" s="1008">
        <v>12</v>
      </c>
      <c r="B408" s="1384" t="s">
        <v>1334</v>
      </c>
      <c r="C408" s="1384"/>
      <c r="D408" s="1384"/>
      <c r="E408" s="1384"/>
      <c r="F408" s="1384"/>
      <c r="G408" s="996" t="s">
        <v>10</v>
      </c>
      <c r="H408" s="1010">
        <v>2019</v>
      </c>
      <c r="I408" s="1010"/>
      <c r="J408" s="1010">
        <v>2021</v>
      </c>
      <c r="K408" s="1010"/>
      <c r="L408" s="1010"/>
      <c r="M408" s="1385" t="s">
        <v>1877</v>
      </c>
      <c r="N408" s="1360">
        <v>8000</v>
      </c>
      <c r="O408" s="1360"/>
      <c r="P408" s="1360">
        <f t="shared" si="256"/>
        <v>4800</v>
      </c>
      <c r="Q408" s="1360"/>
      <c r="R408" s="1360"/>
      <c r="S408" s="1360"/>
      <c r="T408" s="1360"/>
      <c r="U408" s="1360"/>
      <c r="V408" s="1360"/>
      <c r="W408" s="1360"/>
      <c r="X408" s="1360"/>
      <c r="Y408" s="1360"/>
      <c r="Z408" s="1360"/>
      <c r="AA408" s="1360"/>
      <c r="AB408" s="1360"/>
      <c r="AC408" s="1360"/>
      <c r="AD408" s="1349">
        <f t="shared" si="254"/>
        <v>2880</v>
      </c>
      <c r="AE408" s="1349">
        <f t="shared" si="255"/>
        <v>2880</v>
      </c>
      <c r="AF408" s="1355"/>
      <c r="AG408" s="1103"/>
      <c r="AH408" s="1365" t="s">
        <v>1325</v>
      </c>
      <c r="AK408" s="747" t="s">
        <v>1959</v>
      </c>
      <c r="AL408" s="747" t="s">
        <v>2061</v>
      </c>
      <c r="AM408" s="746"/>
      <c r="AN408" s="745" t="s">
        <v>2087</v>
      </c>
      <c r="AO408" s="640" t="s">
        <v>880</v>
      </c>
      <c r="AP408" s="1002" t="s">
        <v>1335</v>
      </c>
      <c r="AQ408" s="1357" t="s">
        <v>1336</v>
      </c>
      <c r="AS408" s="832"/>
      <c r="AT408" s="832"/>
      <c r="AU408" s="834"/>
    </row>
    <row r="409" spans="1:47" ht="76.5">
      <c r="A409" s="994">
        <v>13</v>
      </c>
      <c r="B409" s="1386" t="s">
        <v>1337</v>
      </c>
      <c r="C409" s="1386"/>
      <c r="D409" s="1386"/>
      <c r="E409" s="1386"/>
      <c r="F409" s="1386"/>
      <c r="G409" s="1346" t="s">
        <v>17</v>
      </c>
      <c r="H409" s="1010">
        <v>2019</v>
      </c>
      <c r="I409" s="1010"/>
      <c r="J409" s="1010">
        <v>2021</v>
      </c>
      <c r="K409" s="1010"/>
      <c r="L409" s="1010"/>
      <c r="M409" s="1385" t="s">
        <v>1878</v>
      </c>
      <c r="N409" s="1387">
        <v>9500</v>
      </c>
      <c r="O409" s="1387"/>
      <c r="P409" s="1360">
        <f t="shared" si="256"/>
        <v>5700</v>
      </c>
      <c r="Q409" s="1360"/>
      <c r="R409" s="1360"/>
      <c r="S409" s="1360"/>
      <c r="T409" s="1360"/>
      <c r="U409" s="1360"/>
      <c r="V409" s="1360"/>
      <c r="W409" s="1360"/>
      <c r="X409" s="1360"/>
      <c r="Y409" s="1360"/>
      <c r="Z409" s="1360"/>
      <c r="AA409" s="1360"/>
      <c r="AB409" s="1360"/>
      <c r="AC409" s="1360"/>
      <c r="AD409" s="1349">
        <f t="shared" si="254"/>
        <v>3420</v>
      </c>
      <c r="AE409" s="1349">
        <f t="shared" si="255"/>
        <v>3420</v>
      </c>
      <c r="AF409" s="1355"/>
      <c r="AG409" s="1103"/>
      <c r="AH409" s="1103"/>
      <c r="AK409" s="747" t="s">
        <v>1960</v>
      </c>
      <c r="AL409" s="747" t="s">
        <v>41</v>
      </c>
      <c r="AM409" s="746" t="s">
        <v>2081</v>
      </c>
      <c r="AN409" s="745" t="s">
        <v>2087</v>
      </c>
      <c r="AO409" s="1361" t="s">
        <v>905</v>
      </c>
      <c r="AP409" s="1012" t="s">
        <v>1338</v>
      </c>
      <c r="AQ409" s="1362" t="s">
        <v>1339</v>
      </c>
      <c r="AS409" s="832"/>
      <c r="AT409" s="832"/>
      <c r="AU409" s="834"/>
    </row>
    <row r="410" spans="1:47" ht="55.5" customHeight="1">
      <c r="A410" s="1008">
        <v>14</v>
      </c>
      <c r="B410" s="995" t="s">
        <v>1340</v>
      </c>
      <c r="C410" s="995"/>
      <c r="D410" s="995"/>
      <c r="E410" s="995"/>
      <c r="F410" s="995"/>
      <c r="G410" s="996" t="s">
        <v>49</v>
      </c>
      <c r="H410" s="1010">
        <v>2019</v>
      </c>
      <c r="I410" s="1010"/>
      <c r="J410" s="1010">
        <v>2021</v>
      </c>
      <c r="K410" s="1010"/>
      <c r="L410" s="1010"/>
      <c r="M410" s="1385" t="s">
        <v>1879</v>
      </c>
      <c r="N410" s="1388">
        <v>6000</v>
      </c>
      <c r="O410" s="1388"/>
      <c r="P410" s="1360">
        <f t="shared" si="256"/>
        <v>3600</v>
      </c>
      <c r="Q410" s="1360"/>
      <c r="R410" s="1360"/>
      <c r="S410" s="1360"/>
      <c r="T410" s="1360"/>
      <c r="U410" s="1360"/>
      <c r="V410" s="1360"/>
      <c r="W410" s="1360"/>
      <c r="X410" s="1360"/>
      <c r="Y410" s="1360"/>
      <c r="Z410" s="1360"/>
      <c r="AA410" s="1360"/>
      <c r="AB410" s="1360"/>
      <c r="AC410" s="1360"/>
      <c r="AD410" s="1349">
        <f t="shared" si="254"/>
        <v>2160</v>
      </c>
      <c r="AE410" s="1349">
        <f t="shared" si="255"/>
        <v>2160</v>
      </c>
      <c r="AF410" s="1355"/>
      <c r="AG410" s="1103"/>
      <c r="AH410" s="1365" t="s">
        <v>1325</v>
      </c>
      <c r="AK410" s="747" t="s">
        <v>1952</v>
      </c>
      <c r="AL410" s="747" t="s">
        <v>2061</v>
      </c>
      <c r="AM410" s="746"/>
      <c r="AN410" s="745" t="s">
        <v>2087</v>
      </c>
      <c r="AO410" s="1361" t="s">
        <v>1341</v>
      </c>
      <c r="AP410" s="1002" t="s">
        <v>1342</v>
      </c>
      <c r="AQ410" s="1362" t="s">
        <v>1343</v>
      </c>
      <c r="AS410" s="832"/>
      <c r="AT410" s="832"/>
      <c r="AU410" s="834"/>
    </row>
    <row r="411" spans="1:47" s="1697" customFormat="1" ht="13.5">
      <c r="A411" s="1389" t="s">
        <v>825</v>
      </c>
      <c r="B411" s="1390" t="s">
        <v>1344</v>
      </c>
      <c r="C411" s="1390"/>
      <c r="D411" s="1390"/>
      <c r="E411" s="1390"/>
      <c r="F411" s="1390"/>
      <c r="G411" s="1391"/>
      <c r="H411" s="1392"/>
      <c r="I411" s="1392"/>
      <c r="J411" s="1392"/>
      <c r="K411" s="1392"/>
      <c r="L411" s="1392"/>
      <c r="M411" s="1392"/>
      <c r="N411" s="1393">
        <f t="shared" ref="N411:AF411" si="257">SUBTOTAL(109,N412:N457)</f>
        <v>461146</v>
      </c>
      <c r="O411" s="1393">
        <f t="shared" si="257"/>
        <v>0</v>
      </c>
      <c r="P411" s="1393">
        <f t="shared" si="257"/>
        <v>303089</v>
      </c>
      <c r="Q411" s="1393">
        <f t="shared" si="257"/>
        <v>0</v>
      </c>
      <c r="R411" s="1393">
        <f t="shared" si="257"/>
        <v>0</v>
      </c>
      <c r="S411" s="1393">
        <f t="shared" si="257"/>
        <v>0</v>
      </c>
      <c r="T411" s="1393">
        <f t="shared" si="257"/>
        <v>0</v>
      </c>
      <c r="U411" s="1393">
        <f t="shared" si="257"/>
        <v>0</v>
      </c>
      <c r="V411" s="1393">
        <f t="shared" si="257"/>
        <v>0</v>
      </c>
      <c r="W411" s="1393">
        <f t="shared" si="257"/>
        <v>0</v>
      </c>
      <c r="X411" s="1393">
        <f t="shared" si="257"/>
        <v>0</v>
      </c>
      <c r="Y411" s="1393">
        <f t="shared" si="257"/>
        <v>0</v>
      </c>
      <c r="Z411" s="1393">
        <f t="shared" si="257"/>
        <v>0</v>
      </c>
      <c r="AA411" s="1393">
        <f t="shared" si="257"/>
        <v>0</v>
      </c>
      <c r="AB411" s="1393">
        <f t="shared" si="257"/>
        <v>0</v>
      </c>
      <c r="AC411" s="1393">
        <f t="shared" si="257"/>
        <v>0</v>
      </c>
      <c r="AD411" s="1393">
        <f t="shared" si="257"/>
        <v>192473</v>
      </c>
      <c r="AE411" s="1393">
        <f t="shared" si="257"/>
        <v>192473</v>
      </c>
      <c r="AF411" s="1393">
        <f t="shared" si="257"/>
        <v>0</v>
      </c>
      <c r="AG411" s="1021"/>
      <c r="AH411" s="1394"/>
      <c r="AK411" s="1698"/>
      <c r="AL411" s="1698"/>
      <c r="AM411" s="1699"/>
      <c r="AN411" s="745"/>
      <c r="AO411" s="1395"/>
      <c r="AP411" s="1700"/>
      <c r="AQ411" s="1396"/>
      <c r="AS411" s="1701"/>
      <c r="AT411" s="1701"/>
      <c r="AU411" s="1702"/>
    </row>
    <row r="412" spans="1:47" ht="67.5" customHeight="1">
      <c r="A412" s="994">
        <v>1</v>
      </c>
      <c r="B412" s="1397" t="s">
        <v>1345</v>
      </c>
      <c r="C412" s="1397"/>
      <c r="D412" s="1397"/>
      <c r="E412" s="1397"/>
      <c r="F412" s="1397"/>
      <c r="G412" s="1398" t="s">
        <v>10</v>
      </c>
      <c r="H412" s="997">
        <v>2019</v>
      </c>
      <c r="I412" s="997"/>
      <c r="J412" s="997">
        <v>2020</v>
      </c>
      <c r="K412" s="997"/>
      <c r="L412" s="997"/>
      <c r="M412" s="1371" t="s">
        <v>1936</v>
      </c>
      <c r="N412" s="1399">
        <v>67000</v>
      </c>
      <c r="O412" s="1399"/>
      <c r="P412" s="1399">
        <v>67000</v>
      </c>
      <c r="Q412" s="1399"/>
      <c r="R412" s="1399"/>
      <c r="S412" s="1399"/>
      <c r="T412" s="1399"/>
      <c r="U412" s="1399"/>
      <c r="V412" s="1399"/>
      <c r="W412" s="1399"/>
      <c r="X412" s="1399"/>
      <c r="Y412" s="1399"/>
      <c r="Z412" s="1399"/>
      <c r="AA412" s="1399"/>
      <c r="AB412" s="1399"/>
      <c r="AC412" s="1399"/>
      <c r="AD412" s="1399">
        <f>P412*0.9*0.6</f>
        <v>36180</v>
      </c>
      <c r="AE412" s="1399">
        <f>AD412</f>
        <v>36180</v>
      </c>
      <c r="AF412" s="1399"/>
      <c r="AG412" s="1021"/>
      <c r="AH412" s="1023"/>
      <c r="AK412" s="747" t="s">
        <v>2057</v>
      </c>
      <c r="AL412" s="747" t="s">
        <v>2061</v>
      </c>
      <c r="AM412" s="746" t="s">
        <v>2080</v>
      </c>
      <c r="AN412" s="745" t="s">
        <v>2087</v>
      </c>
      <c r="AO412" s="996" t="s">
        <v>880</v>
      </c>
      <c r="AP412" s="1692" t="s">
        <v>1346</v>
      </c>
      <c r="AQ412" s="1400"/>
      <c r="AS412" s="832"/>
      <c r="AT412" s="832"/>
      <c r="AU412" s="834"/>
    </row>
    <row r="413" spans="1:47" ht="51">
      <c r="A413" s="1401">
        <v>2</v>
      </c>
      <c r="B413" s="1402" t="s">
        <v>1347</v>
      </c>
      <c r="C413" s="1402"/>
      <c r="D413" s="1402"/>
      <c r="E413" s="1402"/>
      <c r="F413" s="1402"/>
      <c r="G413" s="1358" t="s">
        <v>10</v>
      </c>
      <c r="H413" s="1403">
        <v>2018</v>
      </c>
      <c r="I413" s="1403"/>
      <c r="J413" s="1403">
        <v>2020</v>
      </c>
      <c r="K413" s="1403"/>
      <c r="L413" s="1403"/>
      <c r="M413" s="1404" t="s">
        <v>1348</v>
      </c>
      <c r="N413" s="1405">
        <v>2100</v>
      </c>
      <c r="O413" s="1405"/>
      <c r="P413" s="1405">
        <v>1260</v>
      </c>
      <c r="Q413" s="1405"/>
      <c r="R413" s="1405"/>
      <c r="S413" s="1405"/>
      <c r="T413" s="1405"/>
      <c r="U413" s="1405"/>
      <c r="V413" s="1405"/>
      <c r="W413" s="1405"/>
      <c r="X413" s="1405"/>
      <c r="Y413" s="1405"/>
      <c r="Z413" s="1405"/>
      <c r="AA413" s="1405"/>
      <c r="AB413" s="1405"/>
      <c r="AC413" s="1405"/>
      <c r="AD413" s="1406">
        <f>P413</f>
        <v>1260</v>
      </c>
      <c r="AE413" s="1406">
        <f>AD413</f>
        <v>1260</v>
      </c>
      <c r="AF413" s="1355"/>
      <c r="AG413" s="1103"/>
      <c r="AH413" s="1407" t="s">
        <v>1349</v>
      </c>
      <c r="AK413" s="747" t="s">
        <v>1948</v>
      </c>
      <c r="AL413" s="747" t="s">
        <v>2061</v>
      </c>
      <c r="AM413" s="746"/>
      <c r="AN413" s="745" t="s">
        <v>2087</v>
      </c>
      <c r="AO413" s="1408" t="s">
        <v>880</v>
      </c>
      <c r="AP413" s="1692" t="s">
        <v>1309</v>
      </c>
      <c r="AQ413" s="1362" t="s">
        <v>1350</v>
      </c>
      <c r="AS413" s="832"/>
      <c r="AT413" s="832"/>
      <c r="AU413" s="834"/>
    </row>
    <row r="414" spans="1:47" ht="51">
      <c r="A414" s="994">
        <v>3</v>
      </c>
      <c r="B414" s="1409" t="s">
        <v>1351</v>
      </c>
      <c r="C414" s="1409"/>
      <c r="D414" s="1409"/>
      <c r="E414" s="1409"/>
      <c r="F414" s="1409"/>
      <c r="G414" s="996" t="s">
        <v>49</v>
      </c>
      <c r="H414" s="1000">
        <v>2018</v>
      </c>
      <c r="I414" s="1000"/>
      <c r="J414" s="1000">
        <v>2020</v>
      </c>
      <c r="K414" s="1000"/>
      <c r="L414" s="1000"/>
      <c r="M414" s="1410" t="s">
        <v>1352</v>
      </c>
      <c r="N414" s="1411">
        <v>9956</v>
      </c>
      <c r="O414" s="1411"/>
      <c r="P414" s="1411">
        <v>5973</v>
      </c>
      <c r="Q414" s="1411"/>
      <c r="R414" s="1411"/>
      <c r="S414" s="1411"/>
      <c r="T414" s="1411"/>
      <c r="U414" s="1411"/>
      <c r="V414" s="1411"/>
      <c r="W414" s="1411"/>
      <c r="X414" s="1411"/>
      <c r="Y414" s="1411"/>
      <c r="Z414" s="1411"/>
      <c r="AA414" s="1411"/>
      <c r="AB414" s="1411"/>
      <c r="AC414" s="1411"/>
      <c r="AD414" s="1406">
        <f t="shared" ref="AD414:AD417" si="258">P414</f>
        <v>5973</v>
      </c>
      <c r="AE414" s="1406">
        <f t="shared" ref="AE414:AE427" si="259">AD414</f>
        <v>5973</v>
      </c>
      <c r="AF414" s="1355"/>
      <c r="AG414" s="1103"/>
      <c r="AH414" s="516" t="s">
        <v>1353</v>
      </c>
      <c r="AK414" s="747" t="s">
        <v>1961</v>
      </c>
      <c r="AL414" s="747" t="s">
        <v>2061</v>
      </c>
      <c r="AM414" s="746"/>
      <c r="AO414" s="640" t="s">
        <v>916</v>
      </c>
      <c r="AP414" s="1692" t="s">
        <v>1309</v>
      </c>
      <c r="AQ414" s="1362" t="s">
        <v>1354</v>
      </c>
      <c r="AS414" s="832"/>
      <c r="AT414" s="832"/>
      <c r="AU414" s="834"/>
    </row>
    <row r="415" spans="1:47" ht="51">
      <c r="A415" s="1401">
        <v>4</v>
      </c>
      <c r="B415" s="1402" t="s">
        <v>1355</v>
      </c>
      <c r="C415" s="1402"/>
      <c r="D415" s="1402"/>
      <c r="E415" s="1402"/>
      <c r="F415" s="1402"/>
      <c r="G415" s="1358" t="s">
        <v>44</v>
      </c>
      <c r="H415" s="1403">
        <v>2018</v>
      </c>
      <c r="I415" s="1403"/>
      <c r="J415" s="1403">
        <v>2020</v>
      </c>
      <c r="K415" s="1403"/>
      <c r="L415" s="1403"/>
      <c r="M415" s="1404" t="s">
        <v>1356</v>
      </c>
      <c r="N415" s="1405">
        <v>9910</v>
      </c>
      <c r="O415" s="1405"/>
      <c r="P415" s="1405">
        <v>5946</v>
      </c>
      <c r="Q415" s="1405"/>
      <c r="R415" s="1405"/>
      <c r="S415" s="1405"/>
      <c r="T415" s="1405"/>
      <c r="U415" s="1405"/>
      <c r="V415" s="1405"/>
      <c r="W415" s="1405"/>
      <c r="X415" s="1405"/>
      <c r="Y415" s="1405"/>
      <c r="Z415" s="1405"/>
      <c r="AA415" s="1405"/>
      <c r="AB415" s="1405"/>
      <c r="AC415" s="1405"/>
      <c r="AD415" s="1406">
        <f t="shared" si="258"/>
        <v>5946</v>
      </c>
      <c r="AE415" s="1406">
        <f t="shared" si="259"/>
        <v>5946</v>
      </c>
      <c r="AF415" s="1355"/>
      <c r="AG415" s="1103"/>
      <c r="AH415" s="1403" t="s">
        <v>1357</v>
      </c>
      <c r="AK415" s="747" t="s">
        <v>1962</v>
      </c>
      <c r="AL415" s="747" t="s">
        <v>2061</v>
      </c>
      <c r="AM415" s="746" t="s">
        <v>2081</v>
      </c>
      <c r="AN415" s="745" t="s">
        <v>2087</v>
      </c>
      <c r="AO415" s="1412" t="s">
        <v>891</v>
      </c>
      <c r="AP415" s="1692" t="s">
        <v>1309</v>
      </c>
      <c r="AQ415" s="1362" t="s">
        <v>1358</v>
      </c>
      <c r="AS415" s="832"/>
      <c r="AT415" s="832"/>
      <c r="AU415" s="834"/>
    </row>
    <row r="416" spans="1:47" ht="51">
      <c r="A416" s="994">
        <v>5</v>
      </c>
      <c r="B416" s="1402" t="s">
        <v>1359</v>
      </c>
      <c r="C416" s="1402"/>
      <c r="D416" s="1402"/>
      <c r="E416" s="1402"/>
      <c r="F416" s="1402"/>
      <c r="G416" s="1358" t="s">
        <v>46</v>
      </c>
      <c r="H416" s="1403">
        <v>2018</v>
      </c>
      <c r="I416" s="1403"/>
      <c r="J416" s="1403">
        <v>2020</v>
      </c>
      <c r="K416" s="1403"/>
      <c r="L416" s="1403"/>
      <c r="M416" s="1404" t="s">
        <v>1360</v>
      </c>
      <c r="N416" s="1413">
        <v>4500</v>
      </c>
      <c r="O416" s="1413"/>
      <c r="P416" s="1413">
        <v>2700</v>
      </c>
      <c r="Q416" s="1413"/>
      <c r="R416" s="1413"/>
      <c r="S416" s="1413"/>
      <c r="T416" s="1413"/>
      <c r="U416" s="1413"/>
      <c r="V416" s="1413"/>
      <c r="W416" s="1413"/>
      <c r="X416" s="1413"/>
      <c r="Y416" s="1413"/>
      <c r="Z416" s="1413"/>
      <c r="AA416" s="1413"/>
      <c r="AB416" s="1413"/>
      <c r="AC416" s="1413"/>
      <c r="AD416" s="1406">
        <f t="shared" si="258"/>
        <v>2700</v>
      </c>
      <c r="AE416" s="1406">
        <f t="shared" si="259"/>
        <v>2700</v>
      </c>
      <c r="AF416" s="1355"/>
      <c r="AG416" s="1103"/>
      <c r="AH416" s="1358" t="s">
        <v>1307</v>
      </c>
      <c r="AK416" s="747" t="s">
        <v>1963</v>
      </c>
      <c r="AL416" s="747" t="s">
        <v>41</v>
      </c>
      <c r="AM416" s="746" t="s">
        <v>2081</v>
      </c>
      <c r="AN416" s="745" t="s">
        <v>2087</v>
      </c>
      <c r="AO416" s="1412" t="s">
        <v>1361</v>
      </c>
      <c r="AP416" s="1692" t="s">
        <v>1309</v>
      </c>
      <c r="AQ416" s="1362" t="s">
        <v>1362</v>
      </c>
      <c r="AS416" s="832"/>
      <c r="AT416" s="832"/>
      <c r="AU416" s="834"/>
    </row>
    <row r="417" spans="1:47" ht="63.75">
      <c r="A417" s="1401">
        <v>6</v>
      </c>
      <c r="B417" s="1402" t="s">
        <v>1363</v>
      </c>
      <c r="C417" s="1402"/>
      <c r="D417" s="1402"/>
      <c r="E417" s="1402"/>
      <c r="F417" s="1402"/>
      <c r="G417" s="1358" t="s">
        <v>46</v>
      </c>
      <c r="H417" s="1403">
        <v>2018</v>
      </c>
      <c r="I417" s="1403"/>
      <c r="J417" s="1403">
        <v>2020</v>
      </c>
      <c r="K417" s="1403"/>
      <c r="L417" s="1403"/>
      <c r="M417" s="1404" t="s">
        <v>1364</v>
      </c>
      <c r="N417" s="1405">
        <v>9000</v>
      </c>
      <c r="O417" s="1405"/>
      <c r="P417" s="1405">
        <v>3000</v>
      </c>
      <c r="Q417" s="1405"/>
      <c r="R417" s="1405"/>
      <c r="S417" s="1405"/>
      <c r="T417" s="1405"/>
      <c r="U417" s="1405"/>
      <c r="V417" s="1405"/>
      <c r="W417" s="1405"/>
      <c r="X417" s="1405"/>
      <c r="Y417" s="1405"/>
      <c r="Z417" s="1405"/>
      <c r="AA417" s="1405"/>
      <c r="AB417" s="1405"/>
      <c r="AC417" s="1405"/>
      <c r="AD417" s="1406">
        <f t="shared" si="258"/>
        <v>3000</v>
      </c>
      <c r="AE417" s="1406">
        <f t="shared" si="259"/>
        <v>3000</v>
      </c>
      <c r="AF417" s="1355"/>
      <c r="AG417" s="1103"/>
      <c r="AH417" s="1694" t="s">
        <v>1927</v>
      </c>
      <c r="AI417" s="1694" t="s">
        <v>1927</v>
      </c>
      <c r="AK417" s="747" t="s">
        <v>1964</v>
      </c>
      <c r="AL417" s="747" t="s">
        <v>2061</v>
      </c>
      <c r="AM417" s="746"/>
      <c r="AN417" s="745" t="s">
        <v>2087</v>
      </c>
      <c r="AO417" s="1412" t="s">
        <v>963</v>
      </c>
      <c r="AP417" s="1692" t="s">
        <v>1309</v>
      </c>
      <c r="AQ417" s="1362" t="s">
        <v>1365</v>
      </c>
      <c r="AS417" s="832"/>
      <c r="AT417" s="832"/>
      <c r="AU417" s="834"/>
    </row>
    <row r="418" spans="1:47" ht="51">
      <c r="A418" s="994">
        <v>7</v>
      </c>
      <c r="B418" s="1402" t="s">
        <v>1366</v>
      </c>
      <c r="C418" s="1402"/>
      <c r="D418" s="1402"/>
      <c r="E418" s="1402"/>
      <c r="F418" s="1402"/>
      <c r="G418" s="1408" t="s">
        <v>46</v>
      </c>
      <c r="H418" s="1403">
        <v>2019</v>
      </c>
      <c r="I418" s="1403"/>
      <c r="J418" s="1403">
        <v>2021</v>
      </c>
      <c r="K418" s="1414"/>
      <c r="L418" s="1414"/>
      <c r="M418" s="1359" t="s">
        <v>1880</v>
      </c>
      <c r="N418" s="1405">
        <v>9000</v>
      </c>
      <c r="O418" s="1405"/>
      <c r="P418" s="1405">
        <v>5400</v>
      </c>
      <c r="Q418" s="1405"/>
      <c r="R418" s="1405"/>
      <c r="S418" s="1405"/>
      <c r="T418" s="1405"/>
      <c r="U418" s="1405"/>
      <c r="V418" s="1405"/>
      <c r="W418" s="1405"/>
      <c r="X418" s="1405"/>
      <c r="Y418" s="1405"/>
      <c r="Z418" s="1405"/>
      <c r="AA418" s="1405"/>
      <c r="AB418" s="1405"/>
      <c r="AC418" s="1405"/>
      <c r="AD418" s="1349">
        <f>P418*0.6</f>
        <v>3240</v>
      </c>
      <c r="AE418" s="1349">
        <f t="shared" si="259"/>
        <v>3240</v>
      </c>
      <c r="AF418" s="1349"/>
      <c r="AG418" s="1103"/>
      <c r="AH418" s="1358" t="s">
        <v>1367</v>
      </c>
      <c r="AK418" s="747" t="s">
        <v>1965</v>
      </c>
      <c r="AL418" s="747" t="s">
        <v>2061</v>
      </c>
      <c r="AM418" s="746"/>
      <c r="AN418" s="745" t="s">
        <v>2087</v>
      </c>
      <c r="AO418" s="1412" t="s">
        <v>903</v>
      </c>
      <c r="AP418" s="1692" t="s">
        <v>794</v>
      </c>
      <c r="AQ418" s="1357" t="s">
        <v>1368</v>
      </c>
      <c r="AS418" s="832"/>
      <c r="AT418" s="832"/>
      <c r="AU418" s="834"/>
    </row>
    <row r="419" spans="1:47" ht="51">
      <c r="A419" s="1401">
        <v>8</v>
      </c>
      <c r="B419" s="648" t="s">
        <v>1369</v>
      </c>
      <c r="C419" s="648"/>
      <c r="D419" s="648"/>
      <c r="E419" s="648"/>
      <c r="F419" s="648"/>
      <c r="G419" s="647" t="s">
        <v>17</v>
      </c>
      <c r="H419" s="1000">
        <v>2019</v>
      </c>
      <c r="I419" s="1000"/>
      <c r="J419" s="1000">
        <v>2021</v>
      </c>
      <c r="K419" s="1000"/>
      <c r="L419" s="1000"/>
      <c r="M419" s="1359" t="s">
        <v>1881</v>
      </c>
      <c r="N419" s="1349">
        <v>5000</v>
      </c>
      <c r="O419" s="1349"/>
      <c r="P419" s="1349">
        <v>3000</v>
      </c>
      <c r="Q419" s="1349"/>
      <c r="R419" s="1349"/>
      <c r="S419" s="1349"/>
      <c r="T419" s="1349"/>
      <c r="U419" s="1349"/>
      <c r="V419" s="1349"/>
      <c r="W419" s="1349"/>
      <c r="X419" s="1349"/>
      <c r="Y419" s="1349"/>
      <c r="Z419" s="1349"/>
      <c r="AA419" s="1349"/>
      <c r="AB419" s="1349"/>
      <c r="AC419" s="1349"/>
      <c r="AD419" s="1349">
        <f t="shared" ref="AD419:AD431" si="260">P419*0.6</f>
        <v>1800</v>
      </c>
      <c r="AE419" s="1349">
        <f t="shared" si="259"/>
        <v>1800</v>
      </c>
      <c r="AF419" s="1355"/>
      <c r="AG419" s="1103"/>
      <c r="AH419" s="516" t="s">
        <v>1353</v>
      </c>
      <c r="AK419" s="747" t="s">
        <v>1966</v>
      </c>
      <c r="AL419" s="747" t="s">
        <v>2061</v>
      </c>
      <c r="AM419" s="746" t="s">
        <v>2081</v>
      </c>
      <c r="AN419" s="745" t="s">
        <v>2087</v>
      </c>
      <c r="AO419" s="640" t="s">
        <v>998</v>
      </c>
      <c r="AP419" s="1692" t="s">
        <v>1346</v>
      </c>
      <c r="AQ419" s="1362" t="s">
        <v>1370</v>
      </c>
      <c r="AS419" s="832"/>
      <c r="AT419" s="832"/>
      <c r="AU419" s="834"/>
    </row>
    <row r="420" spans="1:47" ht="51">
      <c r="A420" s="994">
        <v>9</v>
      </c>
      <c r="B420" s="1415" t="s">
        <v>1371</v>
      </c>
      <c r="C420" s="1415"/>
      <c r="D420" s="1415"/>
      <c r="E420" s="1415"/>
      <c r="F420" s="1415"/>
      <c r="G420" s="996" t="s">
        <v>49</v>
      </c>
      <c r="H420" s="1000">
        <v>2019</v>
      </c>
      <c r="I420" s="1000"/>
      <c r="J420" s="1000">
        <v>2021</v>
      </c>
      <c r="K420" s="1000"/>
      <c r="L420" s="1000"/>
      <c r="M420" s="1359" t="s">
        <v>1882</v>
      </c>
      <c r="N420" s="1416">
        <v>10000</v>
      </c>
      <c r="O420" s="1416"/>
      <c r="P420" s="1416">
        <v>6000</v>
      </c>
      <c r="Q420" s="1416"/>
      <c r="R420" s="1416"/>
      <c r="S420" s="1416"/>
      <c r="T420" s="1416"/>
      <c r="U420" s="1416"/>
      <c r="V420" s="1416"/>
      <c r="W420" s="1416"/>
      <c r="X420" s="1416"/>
      <c r="Y420" s="1416"/>
      <c r="Z420" s="1416"/>
      <c r="AA420" s="1416"/>
      <c r="AB420" s="1416"/>
      <c r="AC420" s="1416"/>
      <c r="AD420" s="1349">
        <f t="shared" si="260"/>
        <v>3600</v>
      </c>
      <c r="AE420" s="1349">
        <f t="shared" si="259"/>
        <v>3600</v>
      </c>
      <c r="AF420" s="1355"/>
      <c r="AG420" s="1103"/>
      <c r="AH420" s="516" t="s">
        <v>1353</v>
      </c>
      <c r="AK420" s="747" t="s">
        <v>1961</v>
      </c>
      <c r="AL420" s="747" t="s">
        <v>2061</v>
      </c>
      <c r="AM420" s="746"/>
      <c r="AO420" s="640" t="s">
        <v>916</v>
      </c>
      <c r="AP420" s="1692" t="s">
        <v>794</v>
      </c>
      <c r="AQ420" s="1362" t="s">
        <v>1372</v>
      </c>
      <c r="AS420" s="832"/>
      <c r="AT420" s="832"/>
      <c r="AU420" s="834"/>
    </row>
    <row r="421" spans="1:47" ht="51">
      <c r="A421" s="1401">
        <v>10</v>
      </c>
      <c r="B421" s="1415" t="s">
        <v>1373</v>
      </c>
      <c r="C421" s="1415"/>
      <c r="D421" s="1415"/>
      <c r="E421" s="1415"/>
      <c r="F421" s="1415"/>
      <c r="G421" s="996" t="s">
        <v>49</v>
      </c>
      <c r="H421" s="1000">
        <v>2019</v>
      </c>
      <c r="I421" s="1000"/>
      <c r="J421" s="1000">
        <v>2021</v>
      </c>
      <c r="K421" s="1000"/>
      <c r="L421" s="1000"/>
      <c r="M421" s="1359" t="s">
        <v>1883</v>
      </c>
      <c r="N421" s="1416">
        <v>8223</v>
      </c>
      <c r="O421" s="1416"/>
      <c r="P421" s="1416">
        <v>4933</v>
      </c>
      <c r="Q421" s="1416"/>
      <c r="R421" s="1416"/>
      <c r="S421" s="1416"/>
      <c r="T421" s="1416"/>
      <c r="U421" s="1416"/>
      <c r="V421" s="1416"/>
      <c r="W421" s="1416"/>
      <c r="X421" s="1416"/>
      <c r="Y421" s="1416"/>
      <c r="Z421" s="1416"/>
      <c r="AA421" s="1416"/>
      <c r="AB421" s="1416"/>
      <c r="AC421" s="1416"/>
      <c r="AD421" s="1349">
        <f t="shared" si="260"/>
        <v>2959.7999999999997</v>
      </c>
      <c r="AE421" s="1349">
        <f t="shared" si="259"/>
        <v>2959.7999999999997</v>
      </c>
      <c r="AF421" s="1355"/>
      <c r="AG421" s="1103"/>
      <c r="AH421" s="516" t="s">
        <v>1353</v>
      </c>
      <c r="AK421" s="747" t="s">
        <v>1967</v>
      </c>
      <c r="AL421" s="747" t="s">
        <v>2061</v>
      </c>
      <c r="AM421" s="746"/>
      <c r="AN421" s="745" t="s">
        <v>2087</v>
      </c>
      <c r="AO421" s="640" t="s">
        <v>901</v>
      </c>
      <c r="AP421" s="1692" t="s">
        <v>1193</v>
      </c>
      <c r="AQ421" s="1362" t="s">
        <v>1374</v>
      </c>
      <c r="AS421" s="832"/>
      <c r="AT421" s="832"/>
      <c r="AU421" s="834"/>
    </row>
    <row r="422" spans="1:47" ht="51">
      <c r="A422" s="994">
        <v>11</v>
      </c>
      <c r="B422" s="648" t="s">
        <v>1375</v>
      </c>
      <c r="C422" s="648"/>
      <c r="D422" s="648"/>
      <c r="E422" s="648"/>
      <c r="F422" s="648"/>
      <c r="G422" s="996" t="s">
        <v>49</v>
      </c>
      <c r="H422" s="1000">
        <v>2019</v>
      </c>
      <c r="I422" s="1000"/>
      <c r="J422" s="1000">
        <v>2021</v>
      </c>
      <c r="K422" s="1000"/>
      <c r="L422" s="1000"/>
      <c r="M422" s="1359" t="s">
        <v>1884</v>
      </c>
      <c r="N422" s="1417">
        <v>10000</v>
      </c>
      <c r="O422" s="1417"/>
      <c r="P422" s="1417">
        <v>6000</v>
      </c>
      <c r="Q422" s="1417"/>
      <c r="R422" s="1417"/>
      <c r="S422" s="1417"/>
      <c r="T422" s="1417"/>
      <c r="U422" s="1417"/>
      <c r="V422" s="1417"/>
      <c r="W422" s="1417"/>
      <c r="X422" s="1417"/>
      <c r="Y422" s="1417"/>
      <c r="Z422" s="1417"/>
      <c r="AA422" s="1417"/>
      <c r="AB422" s="1417"/>
      <c r="AC422" s="1417"/>
      <c r="AD422" s="1349">
        <f t="shared" si="260"/>
        <v>3600</v>
      </c>
      <c r="AE422" s="1349">
        <f t="shared" si="259"/>
        <v>3600</v>
      </c>
      <c r="AF422" s="1355"/>
      <c r="AG422" s="1103"/>
      <c r="AH422" s="516" t="s">
        <v>1353</v>
      </c>
      <c r="AK422" s="747" t="s">
        <v>1968</v>
      </c>
      <c r="AL422" s="747" t="s">
        <v>2061</v>
      </c>
      <c r="AM422" s="746"/>
      <c r="AO422" s="640" t="s">
        <v>1085</v>
      </c>
      <c r="AP422" s="1692" t="s">
        <v>1346</v>
      </c>
      <c r="AQ422" s="1362" t="s">
        <v>1376</v>
      </c>
      <c r="AS422" s="832"/>
      <c r="AT422" s="832"/>
      <c r="AU422" s="834"/>
    </row>
    <row r="423" spans="1:47" ht="51">
      <c r="A423" s="1401">
        <v>12</v>
      </c>
      <c r="B423" s="648" t="s">
        <v>1377</v>
      </c>
      <c r="C423" s="648"/>
      <c r="D423" s="648"/>
      <c r="E423" s="648"/>
      <c r="F423" s="648"/>
      <c r="G423" s="996" t="s">
        <v>17</v>
      </c>
      <c r="H423" s="1000">
        <v>2019</v>
      </c>
      <c r="I423" s="1000"/>
      <c r="J423" s="1000">
        <v>2021</v>
      </c>
      <c r="K423" s="1000"/>
      <c r="L423" s="1000"/>
      <c r="M423" s="1359" t="s">
        <v>1885</v>
      </c>
      <c r="N423" s="1417">
        <v>7000</v>
      </c>
      <c r="O423" s="1417"/>
      <c r="P423" s="1417">
        <v>4200</v>
      </c>
      <c r="Q423" s="1417"/>
      <c r="R423" s="1417"/>
      <c r="S423" s="1417"/>
      <c r="T423" s="1417"/>
      <c r="U423" s="1417"/>
      <c r="V423" s="1417"/>
      <c r="W423" s="1417"/>
      <c r="X423" s="1417"/>
      <c r="Y423" s="1417"/>
      <c r="Z423" s="1417"/>
      <c r="AA423" s="1417"/>
      <c r="AB423" s="1417"/>
      <c r="AC423" s="1417"/>
      <c r="AD423" s="1349">
        <f t="shared" si="260"/>
        <v>2520</v>
      </c>
      <c r="AE423" s="1349">
        <f t="shared" si="259"/>
        <v>2520</v>
      </c>
      <c r="AF423" s="1355"/>
      <c r="AG423" s="1103"/>
      <c r="AH423" s="516" t="s">
        <v>1353</v>
      </c>
      <c r="AK423" s="747" t="s">
        <v>1951</v>
      </c>
      <c r="AL423" s="747" t="s">
        <v>2061</v>
      </c>
      <c r="AM423" s="746"/>
      <c r="AN423" s="745" t="s">
        <v>2087</v>
      </c>
      <c r="AO423" s="640" t="s">
        <v>922</v>
      </c>
      <c r="AP423" s="1692" t="s">
        <v>1185</v>
      </c>
      <c r="AQ423" s="1362" t="s">
        <v>1378</v>
      </c>
      <c r="AS423" s="832"/>
      <c r="AT423" s="832"/>
      <c r="AU423" s="834"/>
    </row>
    <row r="424" spans="1:47" ht="51">
      <c r="A424" s="994">
        <v>13</v>
      </c>
      <c r="B424" s="1402" t="s">
        <v>1379</v>
      </c>
      <c r="C424" s="1402"/>
      <c r="D424" s="1402"/>
      <c r="E424" s="1402"/>
      <c r="F424" s="1402"/>
      <c r="G424" s="996" t="s">
        <v>17</v>
      </c>
      <c r="H424" s="1403">
        <v>2019</v>
      </c>
      <c r="I424" s="1403"/>
      <c r="J424" s="1403">
        <v>2021</v>
      </c>
      <c r="K424" s="1403"/>
      <c r="L424" s="1403"/>
      <c r="M424" s="1404" t="s">
        <v>1380</v>
      </c>
      <c r="N424" s="1405">
        <v>7000</v>
      </c>
      <c r="O424" s="1405"/>
      <c r="P424" s="1405">
        <v>4200</v>
      </c>
      <c r="Q424" s="1405"/>
      <c r="R424" s="1405"/>
      <c r="S424" s="1405"/>
      <c r="T424" s="1405"/>
      <c r="U424" s="1405"/>
      <c r="V424" s="1405"/>
      <c r="W424" s="1405"/>
      <c r="X424" s="1405"/>
      <c r="Y424" s="1405"/>
      <c r="Z424" s="1405"/>
      <c r="AA424" s="1405"/>
      <c r="AB424" s="1405"/>
      <c r="AC424" s="1405"/>
      <c r="AD424" s="1349">
        <f t="shared" si="260"/>
        <v>2520</v>
      </c>
      <c r="AE424" s="1349">
        <f t="shared" si="259"/>
        <v>2520</v>
      </c>
      <c r="AF424" s="1355"/>
      <c r="AG424" s="1103"/>
      <c r="AH424" s="1408"/>
      <c r="AK424" s="747" t="s">
        <v>1953</v>
      </c>
      <c r="AL424" s="747" t="s">
        <v>164</v>
      </c>
      <c r="AM424" s="746"/>
      <c r="AO424" s="1412" t="s">
        <v>932</v>
      </c>
      <c r="AP424" s="1692" t="s">
        <v>1309</v>
      </c>
      <c r="AQ424" s="1362" t="s">
        <v>1382</v>
      </c>
      <c r="AS424" s="832"/>
      <c r="AT424" s="832"/>
      <c r="AU424" s="834"/>
    </row>
    <row r="425" spans="1:47" ht="102">
      <c r="A425" s="1401">
        <v>14</v>
      </c>
      <c r="B425" s="1418" t="s">
        <v>1383</v>
      </c>
      <c r="C425" s="1418"/>
      <c r="D425" s="1418"/>
      <c r="E425" s="1418"/>
      <c r="F425" s="1418"/>
      <c r="G425" s="996" t="s">
        <v>17</v>
      </c>
      <c r="H425" s="1000">
        <v>2019</v>
      </c>
      <c r="I425" s="1000"/>
      <c r="J425" s="1000">
        <v>2021</v>
      </c>
      <c r="K425" s="1000"/>
      <c r="L425" s="1000"/>
      <c r="M425" s="1410" t="s">
        <v>1384</v>
      </c>
      <c r="N425" s="1411">
        <v>6800</v>
      </c>
      <c r="O425" s="1411"/>
      <c r="P425" s="1411">
        <v>4000</v>
      </c>
      <c r="Q425" s="1411"/>
      <c r="R425" s="1411"/>
      <c r="S425" s="1411"/>
      <c r="T425" s="1411"/>
      <c r="U425" s="1411"/>
      <c r="V425" s="1411"/>
      <c r="W425" s="1411"/>
      <c r="X425" s="1411"/>
      <c r="Y425" s="1411"/>
      <c r="Z425" s="1411"/>
      <c r="AA425" s="1411"/>
      <c r="AB425" s="1411"/>
      <c r="AC425" s="1411"/>
      <c r="AD425" s="1349">
        <f t="shared" si="260"/>
        <v>2400</v>
      </c>
      <c r="AE425" s="1349">
        <f t="shared" si="259"/>
        <v>2400</v>
      </c>
      <c r="AF425" s="1355"/>
      <c r="AG425" s="1103"/>
      <c r="AH425" s="1365" t="s">
        <v>1385</v>
      </c>
      <c r="AK425" s="747" t="s">
        <v>1953</v>
      </c>
      <c r="AL425" s="747" t="s">
        <v>2061</v>
      </c>
      <c r="AM425" s="746"/>
      <c r="AN425" s="745" t="s">
        <v>2087</v>
      </c>
      <c r="AO425" s="640" t="s">
        <v>588</v>
      </c>
      <c r="AP425" s="1692" t="s">
        <v>1346</v>
      </c>
      <c r="AQ425" s="1362" t="s">
        <v>1386</v>
      </c>
      <c r="AS425" s="832"/>
      <c r="AT425" s="832"/>
      <c r="AU425" s="834"/>
    </row>
    <row r="426" spans="1:47" ht="51">
      <c r="A426" s="994">
        <v>15</v>
      </c>
      <c r="B426" s="1419" t="s">
        <v>1387</v>
      </c>
      <c r="C426" s="1419"/>
      <c r="D426" s="1419"/>
      <c r="E426" s="1419"/>
      <c r="F426" s="1419"/>
      <c r="G426" s="1358" t="s">
        <v>26</v>
      </c>
      <c r="H426" s="1420">
        <v>2019</v>
      </c>
      <c r="I426" s="1420"/>
      <c r="J426" s="1420">
        <v>2021</v>
      </c>
      <c r="K426" s="1420"/>
      <c r="L426" s="1420"/>
      <c r="M426" s="1359" t="s">
        <v>1886</v>
      </c>
      <c r="N426" s="1421">
        <v>10000</v>
      </c>
      <c r="O426" s="1421"/>
      <c r="P426" s="1421">
        <f>N426*0.6</f>
        <v>6000</v>
      </c>
      <c r="Q426" s="1421"/>
      <c r="R426" s="1421"/>
      <c r="S426" s="1421"/>
      <c r="T426" s="1421"/>
      <c r="U426" s="1421"/>
      <c r="V426" s="1421"/>
      <c r="W426" s="1421"/>
      <c r="X426" s="1421"/>
      <c r="Y426" s="1421"/>
      <c r="Z426" s="1421"/>
      <c r="AA426" s="1421"/>
      <c r="AB426" s="1421"/>
      <c r="AC426" s="1421"/>
      <c r="AD426" s="1349">
        <f t="shared" si="260"/>
        <v>3600</v>
      </c>
      <c r="AE426" s="1349">
        <f t="shared" si="259"/>
        <v>3600</v>
      </c>
      <c r="AF426" s="1355"/>
      <c r="AG426" s="1103"/>
      <c r="AH426" s="1358" t="s">
        <v>1307</v>
      </c>
      <c r="AK426" s="747" t="s">
        <v>2091</v>
      </c>
      <c r="AL426" s="747" t="s">
        <v>2061</v>
      </c>
      <c r="AM426" s="746"/>
      <c r="AN426" s="745" t="s">
        <v>2087</v>
      </c>
      <c r="AO426" s="1422" t="s">
        <v>938</v>
      </c>
      <c r="AP426" s="1692" t="s">
        <v>1388</v>
      </c>
      <c r="AQ426" s="1357" t="s">
        <v>1389</v>
      </c>
      <c r="AS426" s="832"/>
      <c r="AT426" s="832"/>
      <c r="AU426" s="834"/>
    </row>
    <row r="427" spans="1:47" ht="51">
      <c r="A427" s="1401">
        <v>16</v>
      </c>
      <c r="B427" s="1419" t="s">
        <v>1390</v>
      </c>
      <c r="C427" s="1419"/>
      <c r="D427" s="1419"/>
      <c r="E427" s="1419"/>
      <c r="F427" s="1419"/>
      <c r="G427" s="1423" t="s">
        <v>44</v>
      </c>
      <c r="H427" s="1403">
        <v>2019</v>
      </c>
      <c r="I427" s="1403"/>
      <c r="J427" s="1403">
        <v>2021</v>
      </c>
      <c r="K427" s="1403"/>
      <c r="L427" s="1403"/>
      <c r="M427" s="1359" t="s">
        <v>1887</v>
      </c>
      <c r="N427" s="1413">
        <v>10000</v>
      </c>
      <c r="O427" s="1413"/>
      <c r="P427" s="1421">
        <f>N427*0.6</f>
        <v>6000</v>
      </c>
      <c r="Q427" s="1421"/>
      <c r="R427" s="1421"/>
      <c r="S427" s="1421"/>
      <c r="T427" s="1421"/>
      <c r="U427" s="1421"/>
      <c r="V427" s="1421"/>
      <c r="W427" s="1421"/>
      <c r="X427" s="1421"/>
      <c r="Y427" s="1421"/>
      <c r="Z427" s="1421"/>
      <c r="AA427" s="1421"/>
      <c r="AB427" s="1421"/>
      <c r="AC427" s="1421"/>
      <c r="AD427" s="1349">
        <f t="shared" si="260"/>
        <v>3600</v>
      </c>
      <c r="AE427" s="1349">
        <f t="shared" si="259"/>
        <v>3600</v>
      </c>
      <c r="AF427" s="1355"/>
      <c r="AG427" s="1103"/>
      <c r="AH427" s="1358" t="s">
        <v>1391</v>
      </c>
      <c r="AK427" s="747" t="s">
        <v>1955</v>
      </c>
      <c r="AL427" s="747" t="s">
        <v>2061</v>
      </c>
      <c r="AM427" s="746"/>
      <c r="AN427" s="745" t="s">
        <v>2087</v>
      </c>
      <c r="AO427" s="1412" t="s">
        <v>930</v>
      </c>
      <c r="AP427" s="1692" t="s">
        <v>1388</v>
      </c>
      <c r="AQ427" s="951" t="s">
        <v>1392</v>
      </c>
      <c r="AS427" s="832"/>
      <c r="AT427" s="832"/>
      <c r="AU427" s="834"/>
    </row>
    <row r="428" spans="1:47" ht="51">
      <c r="A428" s="994">
        <v>17</v>
      </c>
      <c r="B428" s="648" t="s">
        <v>1393</v>
      </c>
      <c r="C428" s="648"/>
      <c r="D428" s="648"/>
      <c r="E428" s="648"/>
      <c r="F428" s="648"/>
      <c r="G428" s="996" t="s">
        <v>49</v>
      </c>
      <c r="H428" s="1424">
        <v>2019</v>
      </c>
      <c r="I428" s="1424"/>
      <c r="J428" s="1424">
        <v>2021</v>
      </c>
      <c r="K428" s="1424"/>
      <c r="L428" s="1424"/>
      <c r="M428" s="1359" t="s">
        <v>1888</v>
      </c>
      <c r="N428" s="1359">
        <v>5500</v>
      </c>
      <c r="O428" s="1359"/>
      <c r="P428" s="1359">
        <v>3000</v>
      </c>
      <c r="Q428" s="1349"/>
      <c r="R428" s="1349"/>
      <c r="S428" s="1349"/>
      <c r="T428" s="1349"/>
      <c r="U428" s="1349"/>
      <c r="V428" s="1349"/>
      <c r="W428" s="1349"/>
      <c r="X428" s="1349"/>
      <c r="Y428" s="1349"/>
      <c r="Z428" s="1349"/>
      <c r="AA428" s="1349"/>
      <c r="AB428" s="1349"/>
      <c r="AC428" s="1349"/>
      <c r="AD428" s="1349">
        <f t="shared" si="260"/>
        <v>1800</v>
      </c>
      <c r="AE428" s="1349">
        <f>AD428</f>
        <v>1800</v>
      </c>
      <c r="AF428" s="1355"/>
      <c r="AG428" s="1103"/>
      <c r="AH428" s="516" t="s">
        <v>1353</v>
      </c>
      <c r="AK428" s="747" t="s">
        <v>1969</v>
      </c>
      <c r="AL428" s="747" t="s">
        <v>164</v>
      </c>
      <c r="AM428" s="746"/>
      <c r="AN428" s="745" t="s">
        <v>2087</v>
      </c>
      <c r="AO428" s="1019" t="s">
        <v>972</v>
      </c>
      <c r="AP428" s="1692" t="s">
        <v>1388</v>
      </c>
      <c r="AQ428" s="1362" t="s">
        <v>1394</v>
      </c>
      <c r="AS428" s="832"/>
      <c r="AT428" s="832"/>
      <c r="AU428" s="834"/>
    </row>
    <row r="429" spans="1:47" ht="51">
      <c r="A429" s="1401">
        <v>18</v>
      </c>
      <c r="B429" s="1425" t="s">
        <v>1395</v>
      </c>
      <c r="C429" s="648"/>
      <c r="D429" s="648"/>
      <c r="E429" s="648"/>
      <c r="F429" s="648"/>
      <c r="G429" s="996" t="s">
        <v>49</v>
      </c>
      <c r="H429" s="1000">
        <v>2019</v>
      </c>
      <c r="I429" s="1000"/>
      <c r="J429" s="1000">
        <v>2021</v>
      </c>
      <c r="K429" s="1000"/>
      <c r="L429" s="1000"/>
      <c r="M429" s="1359" t="s">
        <v>1889</v>
      </c>
      <c r="N429" s="1417">
        <v>8000</v>
      </c>
      <c r="O429" s="1417"/>
      <c r="P429" s="1349">
        <f t="shared" ref="P429" si="261">N429*0.6</f>
        <v>4800</v>
      </c>
      <c r="Q429" s="1349"/>
      <c r="R429" s="1349"/>
      <c r="S429" s="1349"/>
      <c r="T429" s="1349"/>
      <c r="U429" s="1349"/>
      <c r="V429" s="1349"/>
      <c r="W429" s="1349"/>
      <c r="X429" s="1349"/>
      <c r="Y429" s="1349"/>
      <c r="Z429" s="1349"/>
      <c r="AA429" s="1349"/>
      <c r="AB429" s="1349"/>
      <c r="AC429" s="1349"/>
      <c r="AD429" s="1349">
        <f t="shared" si="260"/>
        <v>2880</v>
      </c>
      <c r="AE429" s="1349">
        <f t="shared" ref="AE429:AE432" si="262">AD429</f>
        <v>2880</v>
      </c>
      <c r="AF429" s="1355"/>
      <c r="AG429" s="1103"/>
      <c r="AH429" s="516" t="s">
        <v>1353</v>
      </c>
      <c r="AK429" s="747" t="s">
        <v>1970</v>
      </c>
      <c r="AL429" s="747" t="s">
        <v>2061</v>
      </c>
      <c r="AM429" s="746"/>
      <c r="AO429" s="1002" t="s">
        <v>1396</v>
      </c>
      <c r="AP429" s="1692" t="s">
        <v>1346</v>
      </c>
      <c r="AQ429" s="1362" t="s">
        <v>1397</v>
      </c>
      <c r="AS429" s="832"/>
      <c r="AT429" s="832"/>
      <c r="AU429" s="834"/>
    </row>
    <row r="430" spans="1:47" ht="51">
      <c r="A430" s="994">
        <v>19</v>
      </c>
      <c r="B430" s="1419" t="s">
        <v>1398</v>
      </c>
      <c r="C430" s="1419"/>
      <c r="D430" s="1419"/>
      <c r="E430" s="1419"/>
      <c r="F430" s="1419"/>
      <c r="G430" s="1358" t="s">
        <v>10</v>
      </c>
      <c r="H430" s="1420">
        <v>2019</v>
      </c>
      <c r="I430" s="1420"/>
      <c r="J430" s="1420">
        <v>2021</v>
      </c>
      <c r="K430" s="1420"/>
      <c r="L430" s="1420"/>
      <c r="M430" s="1359" t="s">
        <v>1890</v>
      </c>
      <c r="N430" s="1421">
        <v>12000</v>
      </c>
      <c r="O430" s="1421"/>
      <c r="P430" s="1421">
        <f>N430*0.6</f>
        <v>7200</v>
      </c>
      <c r="Q430" s="1421"/>
      <c r="R430" s="1421"/>
      <c r="S430" s="1421"/>
      <c r="T430" s="1421"/>
      <c r="U430" s="1421"/>
      <c r="V430" s="1421"/>
      <c r="W430" s="1421"/>
      <c r="X430" s="1421"/>
      <c r="Y430" s="1421"/>
      <c r="Z430" s="1421"/>
      <c r="AA430" s="1421"/>
      <c r="AB430" s="1421"/>
      <c r="AC430" s="1421"/>
      <c r="AD430" s="1349">
        <f t="shared" si="260"/>
        <v>4320</v>
      </c>
      <c r="AE430" s="1349">
        <f t="shared" si="262"/>
        <v>4320</v>
      </c>
      <c r="AF430" s="1355"/>
      <c r="AG430" s="1103"/>
      <c r="AH430" s="1358" t="s">
        <v>1307</v>
      </c>
      <c r="AK430" s="747" t="s">
        <v>1971</v>
      </c>
      <c r="AL430" s="747" t="s">
        <v>2061</v>
      </c>
      <c r="AM430" s="746"/>
      <c r="AN430" s="745" t="s">
        <v>2087</v>
      </c>
      <c r="AO430" s="1412" t="s">
        <v>880</v>
      </c>
      <c r="AP430" s="1692" t="s">
        <v>1237</v>
      </c>
      <c r="AQ430" s="1357" t="s">
        <v>1399</v>
      </c>
      <c r="AS430" s="832"/>
      <c r="AT430" s="832"/>
      <c r="AU430" s="834"/>
    </row>
    <row r="431" spans="1:47" ht="51">
      <c r="A431" s="1401">
        <v>20</v>
      </c>
      <c r="B431" s="1419" t="s">
        <v>1400</v>
      </c>
      <c r="C431" s="1419"/>
      <c r="D431" s="1419"/>
      <c r="E431" s="1419"/>
      <c r="F431" s="1419"/>
      <c r="G431" s="1358" t="s">
        <v>10</v>
      </c>
      <c r="H431" s="1420">
        <v>2019</v>
      </c>
      <c r="I431" s="1420"/>
      <c r="J431" s="1420">
        <v>2021</v>
      </c>
      <c r="K431" s="1420"/>
      <c r="L431" s="1420"/>
      <c r="M431" s="1426" t="s">
        <v>1937</v>
      </c>
      <c r="N431" s="1421">
        <v>13500</v>
      </c>
      <c r="O431" s="1421"/>
      <c r="P431" s="1421">
        <f>N431*0.6</f>
        <v>8100</v>
      </c>
      <c r="Q431" s="1421"/>
      <c r="R431" s="1421"/>
      <c r="S431" s="1421"/>
      <c r="T431" s="1421"/>
      <c r="U431" s="1421"/>
      <c r="V431" s="1421"/>
      <c r="W431" s="1421"/>
      <c r="X431" s="1421"/>
      <c r="Y431" s="1421"/>
      <c r="Z431" s="1421"/>
      <c r="AA431" s="1421"/>
      <c r="AB431" s="1421"/>
      <c r="AC431" s="1421"/>
      <c r="AD431" s="1349">
        <f t="shared" si="260"/>
        <v>4860</v>
      </c>
      <c r="AE431" s="1349">
        <f t="shared" si="262"/>
        <v>4860</v>
      </c>
      <c r="AF431" s="1355"/>
      <c r="AG431" s="1103"/>
      <c r="AH431" s="1358" t="s">
        <v>1307</v>
      </c>
      <c r="AK431" s="747" t="s">
        <v>1948</v>
      </c>
      <c r="AL431" s="747" t="s">
        <v>2061</v>
      </c>
      <c r="AM431" s="746"/>
      <c r="AN431" s="745" t="s">
        <v>2087</v>
      </c>
      <c r="AO431" s="1412" t="s">
        <v>880</v>
      </c>
      <c r="AP431" s="1692" t="s">
        <v>1388</v>
      </c>
      <c r="AQ431" s="1357" t="s">
        <v>1401</v>
      </c>
      <c r="AS431" s="832"/>
      <c r="AT431" s="832"/>
      <c r="AU431" s="834"/>
    </row>
    <row r="432" spans="1:47" ht="51">
      <c r="A432" s="994">
        <v>21</v>
      </c>
      <c r="B432" s="1418" t="s">
        <v>1402</v>
      </c>
      <c r="C432" s="1418"/>
      <c r="D432" s="1418"/>
      <c r="E432" s="1418"/>
      <c r="F432" s="1418"/>
      <c r="G432" s="996" t="s">
        <v>46</v>
      </c>
      <c r="H432" s="1000">
        <v>2018</v>
      </c>
      <c r="I432" s="1000"/>
      <c r="J432" s="1000">
        <v>2020</v>
      </c>
      <c r="K432" s="1000"/>
      <c r="L432" s="1000"/>
      <c r="M432" s="1410" t="s">
        <v>1403</v>
      </c>
      <c r="N432" s="1411">
        <v>4700</v>
      </c>
      <c r="O432" s="1411"/>
      <c r="P432" s="1411">
        <v>2820</v>
      </c>
      <c r="Q432" s="1411"/>
      <c r="R432" s="1411"/>
      <c r="S432" s="1411"/>
      <c r="T432" s="1411"/>
      <c r="U432" s="1411"/>
      <c r="V432" s="1411"/>
      <c r="W432" s="1411"/>
      <c r="X432" s="1411"/>
      <c r="Y432" s="1411"/>
      <c r="Z432" s="1411"/>
      <c r="AA432" s="1411"/>
      <c r="AB432" s="1411"/>
      <c r="AC432" s="1411"/>
      <c r="AD432" s="639">
        <f>P432</f>
        <v>2820</v>
      </c>
      <c r="AE432" s="1349">
        <f t="shared" si="262"/>
        <v>2820</v>
      </c>
      <c r="AF432" s="1416"/>
      <c r="AG432" s="1103"/>
      <c r="AH432" s="1358" t="s">
        <v>1606</v>
      </c>
      <c r="AK432" s="747" t="s">
        <v>2109</v>
      </c>
      <c r="AL432" s="747" t="s">
        <v>164</v>
      </c>
      <c r="AM432" s="746"/>
      <c r="AO432" s="1002" t="s">
        <v>1404</v>
      </c>
      <c r="AP432" s="1692" t="s">
        <v>1388</v>
      </c>
      <c r="AQ432" s="1362" t="s">
        <v>1405</v>
      </c>
      <c r="AS432" s="832"/>
      <c r="AT432" s="832"/>
      <c r="AU432" s="834"/>
    </row>
    <row r="433" spans="1:47" ht="51">
      <c r="A433" s="1401">
        <v>22</v>
      </c>
      <c r="B433" s="1402" t="s">
        <v>1647</v>
      </c>
      <c r="C433" s="1402"/>
      <c r="D433" s="1402"/>
      <c r="E433" s="1402"/>
      <c r="F433" s="1402"/>
      <c r="G433" s="1358" t="s">
        <v>10</v>
      </c>
      <c r="H433" s="1403">
        <v>2018</v>
      </c>
      <c r="I433" s="1403"/>
      <c r="J433" s="1403">
        <v>2020</v>
      </c>
      <c r="K433" s="1403"/>
      <c r="L433" s="1403"/>
      <c r="M433" s="1404" t="s">
        <v>1406</v>
      </c>
      <c r="N433" s="1405">
        <v>6000</v>
      </c>
      <c r="O433" s="1405"/>
      <c r="P433" s="1405">
        <v>3600</v>
      </c>
      <c r="Q433" s="1405"/>
      <c r="R433" s="1405"/>
      <c r="S433" s="1405"/>
      <c r="T433" s="1405"/>
      <c r="U433" s="1405"/>
      <c r="V433" s="1405"/>
      <c r="W433" s="1405"/>
      <c r="X433" s="1405"/>
      <c r="Y433" s="1405"/>
      <c r="Z433" s="1405"/>
      <c r="AA433" s="1405"/>
      <c r="AB433" s="1405"/>
      <c r="AC433" s="1405"/>
      <c r="AD433" s="639">
        <f>P433*1</f>
        <v>3600</v>
      </c>
      <c r="AE433" s="639">
        <f>AD433</f>
        <v>3600</v>
      </c>
      <c r="AF433" s="1355"/>
      <c r="AG433" s="1103"/>
      <c r="AH433" s="1407" t="s">
        <v>1407</v>
      </c>
      <c r="AK433" s="747" t="s">
        <v>1972</v>
      </c>
      <c r="AL433" s="747" t="s">
        <v>2061</v>
      </c>
      <c r="AM433" s="746" t="s">
        <v>2081</v>
      </c>
      <c r="AN433" s="745" t="s">
        <v>2087</v>
      </c>
      <c r="AO433" s="1412" t="s">
        <v>1039</v>
      </c>
      <c r="AP433" s="1692" t="s">
        <v>1309</v>
      </c>
      <c r="AQ433" s="1362" t="s">
        <v>744</v>
      </c>
      <c r="AS433" s="832"/>
      <c r="AT433" s="832"/>
      <c r="AU433" s="834"/>
    </row>
    <row r="434" spans="1:47" ht="51">
      <c r="A434" s="994">
        <v>23</v>
      </c>
      <c r="B434" s="1703" t="s">
        <v>1408</v>
      </c>
      <c r="C434" s="1703"/>
      <c r="D434" s="1703"/>
      <c r="E434" s="1703"/>
      <c r="F434" s="1703"/>
      <c r="G434" s="1358" t="s">
        <v>44</v>
      </c>
      <c r="H434" s="1403">
        <v>2019</v>
      </c>
      <c r="I434" s="1403"/>
      <c r="J434" s="1403">
        <v>2021</v>
      </c>
      <c r="K434" s="1403"/>
      <c r="L434" s="1403"/>
      <c r="M434" s="1404" t="s">
        <v>1409</v>
      </c>
      <c r="N434" s="1413">
        <v>15000</v>
      </c>
      <c r="O434" s="1413"/>
      <c r="P434" s="1413">
        <v>15000</v>
      </c>
      <c r="Q434" s="1413"/>
      <c r="R434" s="1413"/>
      <c r="S434" s="1413"/>
      <c r="T434" s="1413"/>
      <c r="U434" s="1413"/>
      <c r="V434" s="1413"/>
      <c r="W434" s="1413"/>
      <c r="X434" s="1413"/>
      <c r="Y434" s="1413"/>
      <c r="Z434" s="1413"/>
      <c r="AA434" s="1413"/>
      <c r="AB434" s="1413"/>
      <c r="AC434" s="1413"/>
      <c r="AD434" s="1349">
        <f t="shared" ref="AD434:AD457" si="263">P434*0.6</f>
        <v>9000</v>
      </c>
      <c r="AE434" s="639">
        <f>AD434</f>
        <v>9000</v>
      </c>
      <c r="AF434" s="1355"/>
      <c r="AG434" s="1103"/>
      <c r="AH434" s="1408" t="s">
        <v>1325</v>
      </c>
      <c r="AK434" s="747" t="s">
        <v>1957</v>
      </c>
      <c r="AL434" s="747" t="s">
        <v>2061</v>
      </c>
      <c r="AM434" s="746"/>
      <c r="AN434" s="745" t="s">
        <v>2087</v>
      </c>
      <c r="AO434" s="1412" t="s">
        <v>1410</v>
      </c>
      <c r="AP434" s="1692" t="s">
        <v>1346</v>
      </c>
      <c r="AQ434" s="1362" t="s">
        <v>1411</v>
      </c>
      <c r="AS434" s="832"/>
      <c r="AT434" s="832"/>
      <c r="AU434" s="834"/>
    </row>
    <row r="435" spans="1:47" ht="51">
      <c r="A435" s="1401">
        <v>24</v>
      </c>
      <c r="B435" s="1419" t="s">
        <v>1412</v>
      </c>
      <c r="C435" s="1419"/>
      <c r="D435" s="1419"/>
      <c r="E435" s="1419"/>
      <c r="F435" s="1419"/>
      <c r="G435" s="1358" t="s">
        <v>26</v>
      </c>
      <c r="H435" s="1420">
        <v>2019</v>
      </c>
      <c r="I435" s="1420"/>
      <c r="J435" s="1420">
        <v>2021</v>
      </c>
      <c r="K435" s="1420"/>
      <c r="L435" s="1420"/>
      <c r="M435" s="1359" t="s">
        <v>1891</v>
      </c>
      <c r="N435" s="1413">
        <v>7000</v>
      </c>
      <c r="O435" s="1413"/>
      <c r="P435" s="1421">
        <f>N435*0.6</f>
        <v>4200</v>
      </c>
      <c r="Q435" s="1421"/>
      <c r="R435" s="1421"/>
      <c r="S435" s="1421"/>
      <c r="T435" s="1421"/>
      <c r="U435" s="1421"/>
      <c r="V435" s="1421"/>
      <c r="W435" s="1421"/>
      <c r="X435" s="1421"/>
      <c r="Y435" s="1421"/>
      <c r="Z435" s="1421"/>
      <c r="AA435" s="1421"/>
      <c r="AB435" s="1421"/>
      <c r="AC435" s="1421"/>
      <c r="AD435" s="1349">
        <f t="shared" si="263"/>
        <v>2520</v>
      </c>
      <c r="AE435" s="639">
        <f t="shared" ref="AE435:AE457" si="264">AD435</f>
        <v>2520</v>
      </c>
      <c r="AF435" s="1355"/>
      <c r="AG435" s="1103"/>
      <c r="AH435" s="1358" t="s">
        <v>1307</v>
      </c>
      <c r="AK435" s="747" t="s">
        <v>1973</v>
      </c>
      <c r="AL435" s="747" t="s">
        <v>2061</v>
      </c>
      <c r="AM435" s="746"/>
      <c r="AN435" s="745" t="s">
        <v>2087</v>
      </c>
      <c r="AO435" s="1422" t="s">
        <v>1413</v>
      </c>
      <c r="AP435" s="1692" t="s">
        <v>1346</v>
      </c>
      <c r="AQ435" s="1357" t="s">
        <v>1414</v>
      </c>
      <c r="AS435" s="832"/>
      <c r="AT435" s="832"/>
      <c r="AU435" s="834"/>
    </row>
    <row r="436" spans="1:47" ht="51">
      <c r="A436" s="994">
        <v>25</v>
      </c>
      <c r="B436" s="648" t="s">
        <v>1415</v>
      </c>
      <c r="C436" s="648"/>
      <c r="D436" s="648"/>
      <c r="E436" s="648"/>
      <c r="F436" s="648"/>
      <c r="G436" s="996" t="s">
        <v>49</v>
      </c>
      <c r="H436" s="1424">
        <v>2019</v>
      </c>
      <c r="I436" s="1424"/>
      <c r="J436" s="1424">
        <v>2021</v>
      </c>
      <c r="K436" s="1424"/>
      <c r="L436" s="1424"/>
      <c r="M436" s="1359" t="s">
        <v>1892</v>
      </c>
      <c r="N436" s="1417">
        <v>27000</v>
      </c>
      <c r="O436" s="1417"/>
      <c r="P436" s="1349">
        <f>N436*0.6</f>
        <v>16200</v>
      </c>
      <c r="Q436" s="1349"/>
      <c r="R436" s="1349"/>
      <c r="S436" s="1349"/>
      <c r="T436" s="1349"/>
      <c r="U436" s="1349"/>
      <c r="V436" s="1349"/>
      <c r="W436" s="1349"/>
      <c r="X436" s="1349"/>
      <c r="Y436" s="1349"/>
      <c r="Z436" s="1349"/>
      <c r="AA436" s="1349"/>
      <c r="AB436" s="1349"/>
      <c r="AC436" s="1349"/>
      <c r="AD436" s="1349">
        <f t="shared" si="263"/>
        <v>9720</v>
      </c>
      <c r="AE436" s="639">
        <f t="shared" si="264"/>
        <v>9720</v>
      </c>
      <c r="AF436" s="1355"/>
      <c r="AG436" s="1103"/>
      <c r="AH436" s="1602" t="s">
        <v>1926</v>
      </c>
      <c r="AI436" s="1602" t="s">
        <v>1926</v>
      </c>
      <c r="AK436" s="648" t="s">
        <v>1947</v>
      </c>
      <c r="AL436" s="747" t="s">
        <v>2061</v>
      </c>
      <c r="AM436" s="746"/>
      <c r="AN436" s="745" t="s">
        <v>2087</v>
      </c>
      <c r="AO436" s="1019" t="s">
        <v>972</v>
      </c>
      <c r="AP436" s="647" t="s">
        <v>1388</v>
      </c>
      <c r="AQ436" s="1362" t="s">
        <v>1416</v>
      </c>
      <c r="AS436" s="832"/>
      <c r="AT436" s="832"/>
      <c r="AU436" s="834"/>
    </row>
    <row r="437" spans="1:47" ht="51">
      <c r="A437" s="1401">
        <v>26</v>
      </c>
      <c r="B437" s="1419" t="s">
        <v>1417</v>
      </c>
      <c r="C437" s="1419"/>
      <c r="D437" s="1419"/>
      <c r="E437" s="1419"/>
      <c r="F437" s="1419"/>
      <c r="G437" s="1358" t="s">
        <v>511</v>
      </c>
      <c r="H437" s="1403">
        <v>2019</v>
      </c>
      <c r="I437" s="1403"/>
      <c r="J437" s="1403">
        <v>2021</v>
      </c>
      <c r="K437" s="1403"/>
      <c r="L437" s="1403"/>
      <c r="M437" s="1359" t="s">
        <v>1893</v>
      </c>
      <c r="N437" s="1413">
        <v>5000</v>
      </c>
      <c r="O437" s="1413"/>
      <c r="P437" s="1421">
        <f>N437*0.6</f>
        <v>3000</v>
      </c>
      <c r="Q437" s="1421"/>
      <c r="R437" s="1421"/>
      <c r="S437" s="1421"/>
      <c r="T437" s="1421"/>
      <c r="U437" s="1421"/>
      <c r="V437" s="1421"/>
      <c r="W437" s="1421"/>
      <c r="X437" s="1421"/>
      <c r="Y437" s="1421"/>
      <c r="Z437" s="1421"/>
      <c r="AA437" s="1421"/>
      <c r="AB437" s="1421"/>
      <c r="AC437" s="1421"/>
      <c r="AD437" s="1349">
        <f t="shared" si="263"/>
        <v>1800</v>
      </c>
      <c r="AE437" s="639">
        <f t="shared" si="264"/>
        <v>1800</v>
      </c>
      <c r="AF437" s="1355"/>
      <c r="AG437" s="1103"/>
      <c r="AH437" s="1408" t="s">
        <v>1325</v>
      </c>
      <c r="AK437" s="747" t="s">
        <v>1974</v>
      </c>
      <c r="AL437" s="747" t="s">
        <v>41</v>
      </c>
      <c r="AM437" s="746"/>
      <c r="AN437" s="745" t="s">
        <v>2087</v>
      </c>
      <c r="AO437" s="1427" t="s">
        <v>1418</v>
      </c>
      <c r="AP437" s="1692" t="s">
        <v>1346</v>
      </c>
      <c r="AQ437" s="951" t="s">
        <v>1419</v>
      </c>
      <c r="AS437" s="832"/>
      <c r="AT437" s="832"/>
      <c r="AU437" s="834"/>
    </row>
    <row r="438" spans="1:47" ht="51">
      <c r="A438" s="994">
        <v>27</v>
      </c>
      <c r="B438" s="1402" t="s">
        <v>1420</v>
      </c>
      <c r="C438" s="1402"/>
      <c r="D438" s="1402"/>
      <c r="E438" s="1402"/>
      <c r="F438" s="1402"/>
      <c r="G438" s="1358" t="s">
        <v>10</v>
      </c>
      <c r="H438" s="1420">
        <v>2019</v>
      </c>
      <c r="I438" s="1420"/>
      <c r="J438" s="1420">
        <v>2021</v>
      </c>
      <c r="K438" s="1420"/>
      <c r="L438" s="1420"/>
      <c r="M438" s="1426" t="s">
        <v>1938</v>
      </c>
      <c r="N438" s="1406">
        <v>4500</v>
      </c>
      <c r="O438" s="1406"/>
      <c r="P438" s="1421">
        <v>4500</v>
      </c>
      <c r="Q438" s="1421"/>
      <c r="R438" s="1421"/>
      <c r="S438" s="1421"/>
      <c r="T438" s="1421"/>
      <c r="U438" s="1421"/>
      <c r="V438" s="1421"/>
      <c r="W438" s="1421"/>
      <c r="X438" s="1421"/>
      <c r="Y438" s="1421"/>
      <c r="Z438" s="1421"/>
      <c r="AA438" s="1421"/>
      <c r="AB438" s="1421"/>
      <c r="AC438" s="1421"/>
      <c r="AD438" s="1349">
        <f t="shared" si="263"/>
        <v>2700</v>
      </c>
      <c r="AE438" s="639">
        <f t="shared" si="264"/>
        <v>2700</v>
      </c>
      <c r="AF438" s="1355"/>
      <c r="AG438" s="1103"/>
      <c r="AH438" s="1407" t="s">
        <v>1421</v>
      </c>
      <c r="AK438" s="747" t="s">
        <v>1976</v>
      </c>
      <c r="AL438" s="747" t="s">
        <v>41</v>
      </c>
      <c r="AM438" s="746"/>
      <c r="AN438" s="745" t="s">
        <v>2087</v>
      </c>
      <c r="AO438" s="1412" t="s">
        <v>880</v>
      </c>
      <c r="AP438" s="1692" t="s">
        <v>1346</v>
      </c>
      <c r="AQ438" s="1357" t="s">
        <v>1422</v>
      </c>
      <c r="AS438" s="832"/>
      <c r="AT438" s="832"/>
      <c r="AU438" s="834"/>
    </row>
    <row r="439" spans="1:47" ht="25.5">
      <c r="A439" s="1401">
        <v>28</v>
      </c>
      <c r="B439" s="648" t="s">
        <v>1423</v>
      </c>
      <c r="C439" s="648"/>
      <c r="D439" s="648"/>
      <c r="E439" s="648"/>
      <c r="F439" s="648"/>
      <c r="G439" s="996" t="s">
        <v>9</v>
      </c>
      <c r="H439" s="1000">
        <v>2019</v>
      </c>
      <c r="I439" s="1000"/>
      <c r="J439" s="1000">
        <v>2021</v>
      </c>
      <c r="K439" s="1000"/>
      <c r="L439" s="1000"/>
      <c r="M439" s="1347"/>
      <c r="N439" s="1417">
        <v>55000</v>
      </c>
      <c r="O439" s="1417"/>
      <c r="P439" s="1417">
        <v>25000</v>
      </c>
      <c r="Q439" s="1417"/>
      <c r="R439" s="1417"/>
      <c r="S439" s="1417"/>
      <c r="T439" s="1417"/>
      <c r="U439" s="1417"/>
      <c r="V439" s="1417"/>
      <c r="W439" s="1417"/>
      <c r="X439" s="1417"/>
      <c r="Y439" s="1417"/>
      <c r="Z439" s="1417"/>
      <c r="AA439" s="1417"/>
      <c r="AB439" s="1417"/>
      <c r="AC439" s="1417"/>
      <c r="AD439" s="1349">
        <f t="shared" si="263"/>
        <v>15000</v>
      </c>
      <c r="AE439" s="639">
        <f t="shared" si="264"/>
        <v>15000</v>
      </c>
      <c r="AF439" s="1355"/>
      <c r="AG439" s="1103"/>
      <c r="AH439" s="647" t="s">
        <v>1424</v>
      </c>
      <c r="AK439" s="747" t="s">
        <v>1975</v>
      </c>
      <c r="AL439" s="747" t="s">
        <v>2061</v>
      </c>
      <c r="AM439" s="746"/>
      <c r="AN439" s="745" t="s">
        <v>2087</v>
      </c>
      <c r="AO439" s="640" t="s">
        <v>1425</v>
      </c>
      <c r="AP439" s="1692" t="s">
        <v>1346</v>
      </c>
      <c r="AQ439" s="951"/>
      <c r="AS439" s="832"/>
      <c r="AT439" s="832"/>
      <c r="AU439" s="834"/>
    </row>
    <row r="440" spans="1:47" ht="51">
      <c r="A440" s="994">
        <v>29</v>
      </c>
      <c r="B440" s="1428" t="s">
        <v>1925</v>
      </c>
      <c r="C440" s="1402"/>
      <c r="D440" s="1402"/>
      <c r="E440" s="1402"/>
      <c r="F440" s="1402"/>
      <c r="G440" s="1358" t="s">
        <v>10</v>
      </c>
      <c r="H440" s="1420">
        <v>2019</v>
      </c>
      <c r="I440" s="1420"/>
      <c r="J440" s="1420">
        <v>2021</v>
      </c>
      <c r="K440" s="1420"/>
      <c r="L440" s="1420"/>
      <c r="M440" s="1359" t="s">
        <v>1894</v>
      </c>
      <c r="N440" s="1405">
        <v>9500</v>
      </c>
      <c r="O440" s="1405"/>
      <c r="P440" s="1421">
        <f>N440*0.6</f>
        <v>5700</v>
      </c>
      <c r="Q440" s="1421"/>
      <c r="R440" s="1421"/>
      <c r="S440" s="1421"/>
      <c r="T440" s="1421"/>
      <c r="U440" s="1421"/>
      <c r="V440" s="1421"/>
      <c r="W440" s="1421"/>
      <c r="X440" s="1421"/>
      <c r="Y440" s="1421"/>
      <c r="Z440" s="1421"/>
      <c r="AA440" s="1421"/>
      <c r="AB440" s="1421"/>
      <c r="AC440" s="1421"/>
      <c r="AD440" s="1349">
        <f t="shared" si="263"/>
        <v>3420</v>
      </c>
      <c r="AE440" s="639">
        <f t="shared" si="264"/>
        <v>3420</v>
      </c>
      <c r="AF440" s="1355"/>
      <c r="AG440" s="1103"/>
      <c r="AH440" s="1694" t="s">
        <v>1924</v>
      </c>
      <c r="AI440" s="1694" t="s">
        <v>1924</v>
      </c>
      <c r="AK440" s="747" t="s">
        <v>1954</v>
      </c>
      <c r="AL440" s="747" t="s">
        <v>2061</v>
      </c>
      <c r="AM440" s="746"/>
      <c r="AN440" s="745" t="s">
        <v>2087</v>
      </c>
      <c r="AO440" s="1412" t="s">
        <v>880</v>
      </c>
      <c r="AP440" s="1692" t="s">
        <v>1388</v>
      </c>
      <c r="AQ440" s="1357" t="s">
        <v>1426</v>
      </c>
      <c r="AS440" s="832"/>
      <c r="AT440" s="832"/>
      <c r="AU440" s="834"/>
    </row>
    <row r="441" spans="1:47" ht="51">
      <c r="A441" s="1401">
        <v>30</v>
      </c>
      <c r="B441" s="1419" t="s">
        <v>1427</v>
      </c>
      <c r="C441" s="1419"/>
      <c r="D441" s="1419"/>
      <c r="E441" s="1419"/>
      <c r="F441" s="1419"/>
      <c r="G441" s="1358" t="s">
        <v>10</v>
      </c>
      <c r="H441" s="1420">
        <v>2019</v>
      </c>
      <c r="I441" s="1420"/>
      <c r="J441" s="1420">
        <v>2021</v>
      </c>
      <c r="K441" s="1420"/>
      <c r="L441" s="1420"/>
      <c r="M441" s="1359" t="s">
        <v>1895</v>
      </c>
      <c r="N441" s="1421">
        <v>6500</v>
      </c>
      <c r="O441" s="1421"/>
      <c r="P441" s="1421">
        <f>N441*0.6</f>
        <v>3900</v>
      </c>
      <c r="Q441" s="1421"/>
      <c r="R441" s="1421"/>
      <c r="S441" s="1421"/>
      <c r="T441" s="1421"/>
      <c r="U441" s="1421"/>
      <c r="V441" s="1421"/>
      <c r="W441" s="1421"/>
      <c r="X441" s="1421"/>
      <c r="Y441" s="1421"/>
      <c r="Z441" s="1421"/>
      <c r="AA441" s="1421"/>
      <c r="AB441" s="1421"/>
      <c r="AC441" s="1421"/>
      <c r="AD441" s="1349">
        <f t="shared" si="263"/>
        <v>2340</v>
      </c>
      <c r="AE441" s="639">
        <f t="shared" si="264"/>
        <v>2340</v>
      </c>
      <c r="AF441" s="1355"/>
      <c r="AG441" s="1103"/>
      <c r="AH441" s="1408" t="s">
        <v>1325</v>
      </c>
      <c r="AK441" s="747" t="s">
        <v>1976</v>
      </c>
      <c r="AL441" s="747" t="s">
        <v>2061</v>
      </c>
      <c r="AM441" s="746"/>
      <c r="AN441" s="745" t="s">
        <v>2087</v>
      </c>
      <c r="AO441" s="1412" t="s">
        <v>880</v>
      </c>
      <c r="AP441" s="1692" t="s">
        <v>1346</v>
      </c>
      <c r="AQ441" s="1357" t="s">
        <v>1428</v>
      </c>
      <c r="AS441" s="832"/>
      <c r="AT441" s="832"/>
      <c r="AU441" s="834"/>
    </row>
    <row r="442" spans="1:47" ht="51">
      <c r="A442" s="994">
        <v>31</v>
      </c>
      <c r="B442" s="1419" t="s">
        <v>1429</v>
      </c>
      <c r="C442" s="1419"/>
      <c r="D442" s="1419"/>
      <c r="E442" s="1419"/>
      <c r="F442" s="1419"/>
      <c r="G442" s="1358" t="s">
        <v>10</v>
      </c>
      <c r="H442" s="1420">
        <v>2019</v>
      </c>
      <c r="I442" s="1420"/>
      <c r="J442" s="1420">
        <v>2021</v>
      </c>
      <c r="K442" s="1420"/>
      <c r="L442" s="1420"/>
      <c r="M442" s="1426" t="s">
        <v>1939</v>
      </c>
      <c r="N442" s="1413">
        <v>3500</v>
      </c>
      <c r="O442" s="1413"/>
      <c r="P442" s="1421">
        <f>N442*0.6</f>
        <v>2100</v>
      </c>
      <c r="Q442" s="1421"/>
      <c r="R442" s="1421"/>
      <c r="S442" s="1421"/>
      <c r="T442" s="1421"/>
      <c r="U442" s="1421"/>
      <c r="V442" s="1421"/>
      <c r="W442" s="1421"/>
      <c r="X442" s="1421"/>
      <c r="Y442" s="1421"/>
      <c r="Z442" s="1421"/>
      <c r="AA442" s="1421"/>
      <c r="AB442" s="1421"/>
      <c r="AC442" s="1421"/>
      <c r="AD442" s="1349">
        <f t="shared" si="263"/>
        <v>1260</v>
      </c>
      <c r="AE442" s="639">
        <f t="shared" si="264"/>
        <v>1260</v>
      </c>
      <c r="AF442" s="1355"/>
      <c r="AG442" s="1103"/>
      <c r="AH442" s="1694" t="s">
        <v>1923</v>
      </c>
      <c r="AI442" s="1694" t="s">
        <v>1923</v>
      </c>
      <c r="AK442" s="747" t="s">
        <v>1977</v>
      </c>
      <c r="AL442" s="747" t="s">
        <v>41</v>
      </c>
      <c r="AM442" s="746"/>
      <c r="AN442" s="745" t="s">
        <v>2087</v>
      </c>
      <c r="AO442" s="1412" t="s">
        <v>880</v>
      </c>
      <c r="AP442" s="1692" t="s">
        <v>1346</v>
      </c>
      <c r="AQ442" s="1357" t="s">
        <v>1430</v>
      </c>
      <c r="AS442" s="832"/>
      <c r="AT442" s="832"/>
      <c r="AU442" s="834"/>
    </row>
    <row r="443" spans="1:47" ht="51">
      <c r="A443" s="1401">
        <v>32</v>
      </c>
      <c r="B443" s="1402" t="s">
        <v>1431</v>
      </c>
      <c r="C443" s="1402"/>
      <c r="D443" s="1402"/>
      <c r="E443" s="1402"/>
      <c r="F443" s="1402"/>
      <c r="G443" s="1358" t="s">
        <v>26</v>
      </c>
      <c r="H443" s="1420">
        <v>2019</v>
      </c>
      <c r="I443" s="1420"/>
      <c r="J443" s="1420">
        <v>2021</v>
      </c>
      <c r="K443" s="1420"/>
      <c r="L443" s="1420"/>
      <c r="M443" s="1359" t="s">
        <v>2137</v>
      </c>
      <c r="N443" s="1405">
        <v>10000</v>
      </c>
      <c r="O443" s="1405"/>
      <c r="P443" s="1421">
        <f>N443*0.6</f>
        <v>6000</v>
      </c>
      <c r="Q443" s="1421"/>
      <c r="R443" s="1421"/>
      <c r="S443" s="1421"/>
      <c r="T443" s="1421"/>
      <c r="U443" s="1421"/>
      <c r="V443" s="1421"/>
      <c r="W443" s="1421"/>
      <c r="X443" s="1421"/>
      <c r="Y443" s="1421"/>
      <c r="Z443" s="1421"/>
      <c r="AA443" s="1421"/>
      <c r="AB443" s="1421"/>
      <c r="AC443" s="1421"/>
      <c r="AD443" s="1349">
        <f t="shared" si="263"/>
        <v>3600</v>
      </c>
      <c r="AE443" s="639">
        <f t="shared" si="264"/>
        <v>3600</v>
      </c>
      <c r="AF443" s="1355"/>
      <c r="AG443" s="1103"/>
      <c r="AH443" s="1358" t="s">
        <v>1307</v>
      </c>
      <c r="AK443" s="747" t="s">
        <v>2092</v>
      </c>
      <c r="AL443" s="747" t="s">
        <v>2061</v>
      </c>
      <c r="AM443" s="746"/>
      <c r="AN443" s="745" t="s">
        <v>2087</v>
      </c>
      <c r="AO443" s="1412" t="s">
        <v>938</v>
      </c>
      <c r="AP443" s="1692" t="s">
        <v>1193</v>
      </c>
      <c r="AQ443" s="1357" t="s">
        <v>1432</v>
      </c>
      <c r="AS443" s="832"/>
      <c r="AT443" s="832"/>
      <c r="AU443" s="834"/>
    </row>
    <row r="444" spans="1:47" ht="25.5">
      <c r="A444" s="994">
        <v>33</v>
      </c>
      <c r="B444" s="1419" t="s">
        <v>1433</v>
      </c>
      <c r="C444" s="1419"/>
      <c r="D444" s="1419"/>
      <c r="E444" s="1419"/>
      <c r="F444" s="1419"/>
      <c r="G444" s="1358" t="s">
        <v>504</v>
      </c>
      <c r="H444" s="1403">
        <v>2019</v>
      </c>
      <c r="I444" s="1403"/>
      <c r="J444" s="1403">
        <v>2021</v>
      </c>
      <c r="K444" s="1403"/>
      <c r="L444" s="1403"/>
      <c r="M444" s="1359" t="s">
        <v>2067</v>
      </c>
      <c r="N444" s="1413">
        <v>4000</v>
      </c>
      <c r="O444" s="1413"/>
      <c r="P444" s="1421">
        <f>N444*0.6</f>
        <v>2400</v>
      </c>
      <c r="Q444" s="1421"/>
      <c r="R444" s="1421"/>
      <c r="S444" s="1421"/>
      <c r="T444" s="1421"/>
      <c r="U444" s="1421"/>
      <c r="V444" s="1421"/>
      <c r="W444" s="1421"/>
      <c r="X444" s="1421"/>
      <c r="Y444" s="1421"/>
      <c r="Z444" s="1421"/>
      <c r="AA444" s="1421"/>
      <c r="AB444" s="1421"/>
      <c r="AC444" s="1421"/>
      <c r="AD444" s="1349">
        <f t="shared" si="263"/>
        <v>1440</v>
      </c>
      <c r="AE444" s="639">
        <f t="shared" si="264"/>
        <v>1440</v>
      </c>
      <c r="AF444" s="1355"/>
      <c r="AG444" s="1103"/>
      <c r="AH444" s="1408" t="s">
        <v>1434</v>
      </c>
      <c r="AK444" s="747" t="s">
        <v>1978</v>
      </c>
      <c r="AL444" s="747" t="s">
        <v>41</v>
      </c>
      <c r="AM444" s="746"/>
      <c r="AO444" s="1412" t="s">
        <v>1435</v>
      </c>
      <c r="AP444" s="1692" t="s">
        <v>1346</v>
      </c>
      <c r="AQ444" s="1429"/>
      <c r="AS444" s="832"/>
      <c r="AT444" s="832"/>
      <c r="AU444" s="834"/>
    </row>
    <row r="445" spans="1:47" ht="54">
      <c r="A445" s="994">
        <v>34</v>
      </c>
      <c r="B445" s="1419" t="s">
        <v>1436</v>
      </c>
      <c r="C445" s="1419"/>
      <c r="D445" s="1419"/>
      <c r="E445" s="1419"/>
      <c r="F445" s="1419"/>
      <c r="G445" s="1358" t="s">
        <v>10</v>
      </c>
      <c r="H445" s="1403">
        <v>2019</v>
      </c>
      <c r="I445" s="1403"/>
      <c r="J445" s="1403">
        <v>2020</v>
      </c>
      <c r="K445" s="1403"/>
      <c r="L445" s="1403"/>
      <c r="M445" s="1430" t="s">
        <v>1437</v>
      </c>
      <c r="N445" s="1413">
        <v>3500</v>
      </c>
      <c r="O445" s="1413"/>
      <c r="P445" s="1421">
        <v>2100</v>
      </c>
      <c r="Q445" s="1421"/>
      <c r="R445" s="1421"/>
      <c r="S445" s="1421"/>
      <c r="T445" s="1421"/>
      <c r="U445" s="1421"/>
      <c r="V445" s="1421"/>
      <c r="W445" s="1421"/>
      <c r="X445" s="1421"/>
      <c r="Y445" s="1421"/>
      <c r="Z445" s="1421"/>
      <c r="AA445" s="1421"/>
      <c r="AB445" s="1421"/>
      <c r="AC445" s="1421"/>
      <c r="AD445" s="1349">
        <f>P445*1</f>
        <v>2100</v>
      </c>
      <c r="AE445" s="639">
        <f t="shared" si="264"/>
        <v>2100</v>
      </c>
      <c r="AF445" s="1355"/>
      <c r="AG445" s="1103"/>
      <c r="AH445" s="1408" t="s">
        <v>1607</v>
      </c>
      <c r="AK445" s="747" t="s">
        <v>1979</v>
      </c>
      <c r="AL445" s="747" t="s">
        <v>41</v>
      </c>
      <c r="AM445" s="746"/>
      <c r="AN445" s="745" t="s">
        <v>2087</v>
      </c>
      <c r="AO445" s="1412" t="s">
        <v>876</v>
      </c>
      <c r="AP445" s="1692"/>
      <c r="AQ445" s="1429" t="s">
        <v>1438</v>
      </c>
      <c r="AS445" s="832"/>
      <c r="AT445" s="832"/>
      <c r="AU445" s="834"/>
    </row>
    <row r="446" spans="1:47" ht="51">
      <c r="A446" s="994">
        <v>35</v>
      </c>
      <c r="B446" s="1402" t="s">
        <v>1439</v>
      </c>
      <c r="C446" s="1402"/>
      <c r="D446" s="1402"/>
      <c r="E446" s="1402"/>
      <c r="F446" s="1402"/>
      <c r="G446" s="1358" t="s">
        <v>10</v>
      </c>
      <c r="H446" s="1403">
        <v>2019</v>
      </c>
      <c r="I446" s="1403"/>
      <c r="J446" s="1403">
        <v>2021</v>
      </c>
      <c r="K446" s="1403"/>
      <c r="L446" s="1403"/>
      <c r="M446" s="1359" t="s">
        <v>1896</v>
      </c>
      <c r="N446" s="1405">
        <v>4000</v>
      </c>
      <c r="O446" s="1405"/>
      <c r="P446" s="1405">
        <v>2400</v>
      </c>
      <c r="Q446" s="1405"/>
      <c r="R446" s="1405"/>
      <c r="S446" s="1405"/>
      <c r="T446" s="1405"/>
      <c r="U446" s="1405"/>
      <c r="V446" s="1405"/>
      <c r="W446" s="1405"/>
      <c r="X446" s="1405"/>
      <c r="Y446" s="1405"/>
      <c r="Z446" s="1405"/>
      <c r="AA446" s="1405"/>
      <c r="AB446" s="1405"/>
      <c r="AC446" s="1405"/>
      <c r="AD446" s="1349">
        <f t="shared" si="263"/>
        <v>1440</v>
      </c>
      <c r="AE446" s="639">
        <f t="shared" si="264"/>
        <v>1440</v>
      </c>
      <c r="AF446" s="1355"/>
      <c r="AG446" s="1103"/>
      <c r="AH446" s="1358" t="s">
        <v>1307</v>
      </c>
      <c r="AK446" s="747" t="s">
        <v>1980</v>
      </c>
      <c r="AL446" s="747" t="s">
        <v>41</v>
      </c>
      <c r="AM446" s="746"/>
      <c r="AN446" s="745" t="s">
        <v>2087</v>
      </c>
      <c r="AO446" s="1412" t="s">
        <v>1182</v>
      </c>
      <c r="AP446" s="1692" t="s">
        <v>1185</v>
      </c>
      <c r="AQ446" s="1362" t="s">
        <v>1440</v>
      </c>
      <c r="AS446" s="832"/>
      <c r="AT446" s="832"/>
      <c r="AU446" s="834"/>
    </row>
    <row r="447" spans="1:47" ht="51">
      <c r="A447" s="1401">
        <v>36</v>
      </c>
      <c r="B447" s="1419" t="s">
        <v>1441</v>
      </c>
      <c r="C447" s="1419"/>
      <c r="D447" s="1419"/>
      <c r="E447" s="1419"/>
      <c r="F447" s="1419"/>
      <c r="G447" s="1358" t="s">
        <v>46</v>
      </c>
      <c r="H447" s="1420">
        <v>2019</v>
      </c>
      <c r="I447" s="1420"/>
      <c r="J447" s="1420">
        <v>2021</v>
      </c>
      <c r="K447" s="1420"/>
      <c r="L447" s="1420"/>
      <c r="M447" s="1359" t="s">
        <v>2142</v>
      </c>
      <c r="N447" s="1421">
        <v>4000</v>
      </c>
      <c r="O447" s="1421"/>
      <c r="P447" s="1421">
        <f>N447*0.6</f>
        <v>2400</v>
      </c>
      <c r="Q447" s="1421"/>
      <c r="R447" s="1421"/>
      <c r="S447" s="1421"/>
      <c r="T447" s="1421"/>
      <c r="U447" s="1421"/>
      <c r="V447" s="1421"/>
      <c r="W447" s="1421"/>
      <c r="X447" s="1421"/>
      <c r="Y447" s="1421"/>
      <c r="Z447" s="1421"/>
      <c r="AA447" s="1421"/>
      <c r="AB447" s="1421"/>
      <c r="AC447" s="1421"/>
      <c r="AD447" s="1349">
        <f t="shared" si="263"/>
        <v>1440</v>
      </c>
      <c r="AE447" s="639">
        <f t="shared" si="264"/>
        <v>1440</v>
      </c>
      <c r="AF447" s="1355"/>
      <c r="AG447" s="1103"/>
      <c r="AH447" s="1602" t="s">
        <v>1922</v>
      </c>
      <c r="AI447" s="1602" t="s">
        <v>1922</v>
      </c>
      <c r="AK447" s="747" t="s">
        <v>1981</v>
      </c>
      <c r="AL447" s="747" t="s">
        <v>2061</v>
      </c>
      <c r="AM447" s="746" t="s">
        <v>2081</v>
      </c>
      <c r="AN447" s="745" t="s">
        <v>2087</v>
      </c>
      <c r="AO447" s="1431" t="s">
        <v>963</v>
      </c>
      <c r="AP447" s="1692" t="s">
        <v>1346</v>
      </c>
      <c r="AQ447" s="1357" t="s">
        <v>1442</v>
      </c>
      <c r="AS447" s="832"/>
      <c r="AT447" s="832"/>
      <c r="AU447" s="834"/>
    </row>
    <row r="448" spans="1:47" ht="51">
      <c r="A448" s="994">
        <v>37</v>
      </c>
      <c r="B448" s="1419" t="s">
        <v>1443</v>
      </c>
      <c r="C448" s="1419"/>
      <c r="D448" s="1419"/>
      <c r="E448" s="1419"/>
      <c r="F448" s="1419"/>
      <c r="G448" s="1358" t="s">
        <v>46</v>
      </c>
      <c r="H448" s="1420">
        <v>2019</v>
      </c>
      <c r="I448" s="1420"/>
      <c r="J448" s="1420">
        <v>2021</v>
      </c>
      <c r="K448" s="1420"/>
      <c r="L448" s="1420"/>
      <c r="M448" s="1359" t="s">
        <v>1897</v>
      </c>
      <c r="N448" s="1421">
        <v>3500</v>
      </c>
      <c r="O448" s="1421"/>
      <c r="P448" s="1421">
        <f>N448*0.6</f>
        <v>2100</v>
      </c>
      <c r="Q448" s="1421"/>
      <c r="R448" s="1421"/>
      <c r="S448" s="1421"/>
      <c r="T448" s="1421"/>
      <c r="U448" s="1421"/>
      <c r="V448" s="1421"/>
      <c r="W448" s="1421"/>
      <c r="X448" s="1421"/>
      <c r="Y448" s="1421"/>
      <c r="Z448" s="1421"/>
      <c r="AA448" s="1421"/>
      <c r="AB448" s="1421"/>
      <c r="AC448" s="1421"/>
      <c r="AD448" s="1349">
        <f t="shared" si="263"/>
        <v>1260</v>
      </c>
      <c r="AE448" s="639">
        <f t="shared" si="264"/>
        <v>1260</v>
      </c>
      <c r="AF448" s="1355"/>
      <c r="AG448" s="1103"/>
      <c r="AH448" s="1408" t="s">
        <v>1325</v>
      </c>
      <c r="AK448" s="747" t="s">
        <v>1982</v>
      </c>
      <c r="AL448" s="747" t="s">
        <v>2061</v>
      </c>
      <c r="AM448" s="746"/>
      <c r="AN448" s="745" t="s">
        <v>2087</v>
      </c>
      <c r="AO448" s="1431" t="s">
        <v>963</v>
      </c>
      <c r="AP448" s="1692" t="s">
        <v>1346</v>
      </c>
      <c r="AQ448" s="1357" t="s">
        <v>1444</v>
      </c>
      <c r="AS448" s="832"/>
      <c r="AT448" s="832"/>
      <c r="AU448" s="834"/>
    </row>
    <row r="449" spans="1:47" ht="63.75">
      <c r="A449" s="1401">
        <v>38</v>
      </c>
      <c r="B449" s="1418" t="s">
        <v>1445</v>
      </c>
      <c r="C449" s="1418"/>
      <c r="D449" s="1418"/>
      <c r="E449" s="1418"/>
      <c r="F449" s="1418"/>
      <c r="G449" s="996" t="s">
        <v>9</v>
      </c>
      <c r="H449" s="1000">
        <v>2017</v>
      </c>
      <c r="I449" s="1000"/>
      <c r="J449" s="1000">
        <v>2019</v>
      </c>
      <c r="K449" s="1000"/>
      <c r="L449" s="1000"/>
      <c r="M449" s="647" t="s">
        <v>2127</v>
      </c>
      <c r="N449" s="639">
        <v>10000</v>
      </c>
      <c r="O449" s="639"/>
      <c r="P449" s="639">
        <v>2500</v>
      </c>
      <c r="Q449" s="639"/>
      <c r="R449" s="639"/>
      <c r="S449" s="639"/>
      <c r="T449" s="639"/>
      <c r="U449" s="639"/>
      <c r="V449" s="639"/>
      <c r="W449" s="639"/>
      <c r="X449" s="639"/>
      <c r="Y449" s="639"/>
      <c r="Z449" s="639"/>
      <c r="AA449" s="639"/>
      <c r="AB449" s="639"/>
      <c r="AC449" s="639"/>
      <c r="AD449" s="639">
        <f>P449</f>
        <v>2500</v>
      </c>
      <c r="AE449" s="639">
        <f>AD449</f>
        <v>2500</v>
      </c>
      <c r="AF449" s="1355"/>
      <c r="AG449" s="1103"/>
      <c r="AH449" s="1408" t="s">
        <v>1608</v>
      </c>
      <c r="AK449" s="747" t="s">
        <v>1983</v>
      </c>
      <c r="AL449" s="747" t="s">
        <v>164</v>
      </c>
      <c r="AM449" s="746"/>
      <c r="AO449" s="640" t="s">
        <v>1446</v>
      </c>
      <c r="AP449" s="1692" t="s">
        <v>1309</v>
      </c>
      <c r="AQ449" s="1362" t="s">
        <v>1447</v>
      </c>
      <c r="AS449" s="832"/>
      <c r="AT449" s="832"/>
      <c r="AU449" s="834"/>
    </row>
    <row r="450" spans="1:47" s="1173" customFormat="1" ht="51">
      <c r="A450" s="981">
        <v>39</v>
      </c>
      <c r="B450" s="1432" t="s">
        <v>1448</v>
      </c>
      <c r="C450" s="1432"/>
      <c r="D450" s="1432"/>
      <c r="E450" s="1432"/>
      <c r="F450" s="1432"/>
      <c r="G450" s="944" t="s">
        <v>44</v>
      </c>
      <c r="H450" s="980">
        <v>2019</v>
      </c>
      <c r="I450" s="980"/>
      <c r="J450" s="1433">
        <v>2021</v>
      </c>
      <c r="K450" s="980"/>
      <c r="L450" s="980"/>
      <c r="M450" s="1434" t="s">
        <v>2126</v>
      </c>
      <c r="N450" s="1435">
        <v>2000</v>
      </c>
      <c r="O450" s="1435"/>
      <c r="P450" s="1436">
        <v>2000</v>
      </c>
      <c r="Q450" s="1436"/>
      <c r="R450" s="1436"/>
      <c r="S450" s="1436"/>
      <c r="T450" s="1436"/>
      <c r="U450" s="1436"/>
      <c r="V450" s="1436"/>
      <c r="W450" s="1436"/>
      <c r="X450" s="1436"/>
      <c r="Y450" s="1436"/>
      <c r="Z450" s="1436"/>
      <c r="AA450" s="1436"/>
      <c r="AB450" s="1436"/>
      <c r="AC450" s="1436"/>
      <c r="AD450" s="1349">
        <f>P450*1</f>
        <v>2000</v>
      </c>
      <c r="AE450" s="948">
        <f t="shared" si="264"/>
        <v>2000</v>
      </c>
      <c r="AF450" s="1437"/>
      <c r="AG450" s="976"/>
      <c r="AH450" s="1438" t="s">
        <v>1449</v>
      </c>
      <c r="AK450" s="1174" t="s">
        <v>1950</v>
      </c>
      <c r="AL450" s="747" t="s">
        <v>2061</v>
      </c>
      <c r="AM450" s="832"/>
      <c r="AN450" s="745" t="s">
        <v>2087</v>
      </c>
      <c r="AO450" s="1180" t="s">
        <v>1049</v>
      </c>
      <c r="AP450" s="1692" t="s">
        <v>1193</v>
      </c>
      <c r="AQ450" s="980" t="s">
        <v>1450</v>
      </c>
      <c r="AS450" s="832"/>
      <c r="AT450" s="832"/>
      <c r="AU450" s="834"/>
    </row>
    <row r="451" spans="1:47" ht="51">
      <c r="A451" s="1401">
        <v>40</v>
      </c>
      <c r="B451" s="1439" t="s">
        <v>1451</v>
      </c>
      <c r="C451" s="1439"/>
      <c r="D451" s="1439"/>
      <c r="E451" s="1439"/>
      <c r="F451" s="1439"/>
      <c r="G451" s="996" t="s">
        <v>26</v>
      </c>
      <c r="H451" s="1424">
        <v>2019</v>
      </c>
      <c r="I451" s="1424"/>
      <c r="J451" s="1424">
        <v>2021</v>
      </c>
      <c r="K451" s="1424"/>
      <c r="L451" s="1424"/>
      <c r="M451" s="647" t="s">
        <v>2128</v>
      </c>
      <c r="N451" s="1416">
        <v>1500</v>
      </c>
      <c r="O451" s="1416"/>
      <c r="P451" s="1349">
        <f>N451*0.6</f>
        <v>900</v>
      </c>
      <c r="Q451" s="1349"/>
      <c r="R451" s="1349"/>
      <c r="S451" s="1349"/>
      <c r="T451" s="1349"/>
      <c r="U451" s="1349"/>
      <c r="V451" s="1349"/>
      <c r="W451" s="1349"/>
      <c r="X451" s="1349"/>
      <c r="Y451" s="1349"/>
      <c r="Z451" s="1349"/>
      <c r="AA451" s="1349"/>
      <c r="AB451" s="1349"/>
      <c r="AC451" s="1349"/>
      <c r="AD451" s="1349">
        <f>P451*1</f>
        <v>900</v>
      </c>
      <c r="AE451" s="639">
        <f t="shared" si="264"/>
        <v>900</v>
      </c>
      <c r="AF451" s="1416"/>
      <c r="AG451" s="1103"/>
      <c r="AH451" s="1694" t="s">
        <v>1921</v>
      </c>
      <c r="AI451" s="1694" t="s">
        <v>1921</v>
      </c>
      <c r="AK451" s="747" t="s">
        <v>1984</v>
      </c>
      <c r="AL451" s="747" t="s">
        <v>41</v>
      </c>
      <c r="AM451" s="746" t="s">
        <v>2081</v>
      </c>
      <c r="AN451" s="745" t="s">
        <v>2087</v>
      </c>
      <c r="AO451" s="1002" t="s">
        <v>938</v>
      </c>
      <c r="AP451" s="1692" t="s">
        <v>1346</v>
      </c>
      <c r="AQ451" s="1351" t="s">
        <v>1453</v>
      </c>
      <c r="AS451" s="832"/>
      <c r="AT451" s="832"/>
      <c r="AU451" s="834"/>
    </row>
    <row r="452" spans="1:47" ht="25.5">
      <c r="A452" s="994">
        <v>41</v>
      </c>
      <c r="B452" s="1439" t="s">
        <v>1454</v>
      </c>
      <c r="C452" s="1439"/>
      <c r="D452" s="1439"/>
      <c r="E452" s="1439"/>
      <c r="F452" s="1439"/>
      <c r="G452" s="996" t="s">
        <v>511</v>
      </c>
      <c r="H452" s="1424">
        <v>2019</v>
      </c>
      <c r="I452" s="1424"/>
      <c r="J452" s="1424">
        <v>2020</v>
      </c>
      <c r="K452" s="1424"/>
      <c r="L452" s="1424"/>
      <c r="M452" s="647" t="s">
        <v>2146</v>
      </c>
      <c r="N452" s="1416">
        <v>3500</v>
      </c>
      <c r="O452" s="1416"/>
      <c r="P452" s="1349">
        <f t="shared" ref="P452" si="265">N452*0.6</f>
        <v>2100</v>
      </c>
      <c r="Q452" s="1349"/>
      <c r="R452" s="1349"/>
      <c r="S452" s="1349"/>
      <c r="T452" s="1349"/>
      <c r="U452" s="1349"/>
      <c r="V452" s="1349"/>
      <c r="W452" s="1349"/>
      <c r="X452" s="1349"/>
      <c r="Y452" s="1349"/>
      <c r="Z452" s="1349"/>
      <c r="AA452" s="1349"/>
      <c r="AB452" s="1349"/>
      <c r="AC452" s="1349"/>
      <c r="AD452" s="639">
        <f>P452*1</f>
        <v>2100</v>
      </c>
      <c r="AE452" s="639">
        <f t="shared" si="264"/>
        <v>2100</v>
      </c>
      <c r="AF452" s="1416"/>
      <c r="AG452" s="1103"/>
      <c r="AH452" s="1105"/>
      <c r="AK452" s="747" t="s">
        <v>1985</v>
      </c>
      <c r="AL452" s="747" t="s">
        <v>164</v>
      </c>
      <c r="AM452" s="746" t="s">
        <v>2081</v>
      </c>
      <c r="AN452" s="745" t="s">
        <v>2087</v>
      </c>
      <c r="AO452" s="1019" t="s">
        <v>1455</v>
      </c>
      <c r="AP452" s="1692" t="s">
        <v>1346</v>
      </c>
      <c r="AQ452" s="951"/>
      <c r="AS452" s="832"/>
      <c r="AT452" s="832"/>
      <c r="AU452" s="834"/>
    </row>
    <row r="453" spans="1:47" ht="63.75">
      <c r="A453" s="1401">
        <v>42</v>
      </c>
      <c r="B453" s="1409" t="s">
        <v>1456</v>
      </c>
      <c r="C453" s="1409"/>
      <c r="D453" s="1409"/>
      <c r="E453" s="1409"/>
      <c r="F453" s="1409"/>
      <c r="G453" s="996" t="s">
        <v>9</v>
      </c>
      <c r="H453" s="1000">
        <v>2019</v>
      </c>
      <c r="I453" s="1000"/>
      <c r="J453" s="1000">
        <v>2021</v>
      </c>
      <c r="K453" s="1000"/>
      <c r="L453" s="1000"/>
      <c r="M453" s="647" t="s">
        <v>2131</v>
      </c>
      <c r="N453" s="1416">
        <v>14800</v>
      </c>
      <c r="O453" s="1416"/>
      <c r="P453" s="1416">
        <v>14800</v>
      </c>
      <c r="Q453" s="1416"/>
      <c r="R453" s="1416"/>
      <c r="S453" s="1416"/>
      <c r="T453" s="1416"/>
      <c r="U453" s="1416"/>
      <c r="V453" s="1416"/>
      <c r="W453" s="1416"/>
      <c r="X453" s="1416"/>
      <c r="Y453" s="1416"/>
      <c r="Z453" s="1416"/>
      <c r="AA453" s="1416"/>
      <c r="AB453" s="1416"/>
      <c r="AC453" s="1416"/>
      <c r="AD453" s="1349">
        <f t="shared" si="263"/>
        <v>8880</v>
      </c>
      <c r="AE453" s="639">
        <f t="shared" si="264"/>
        <v>8880</v>
      </c>
      <c r="AF453" s="1017"/>
      <c r="AG453" s="1103"/>
      <c r="AH453" s="1350" t="s">
        <v>1452</v>
      </c>
      <c r="AK453" s="747" t="s">
        <v>1978</v>
      </c>
      <c r="AL453" s="747" t="s">
        <v>164</v>
      </c>
      <c r="AM453" s="746"/>
      <c r="AO453" s="1440" t="s">
        <v>1457</v>
      </c>
      <c r="AP453" s="1692" t="s">
        <v>1185</v>
      </c>
      <c r="AQ453" s="1351" t="s">
        <v>1458</v>
      </c>
      <c r="AS453" s="832"/>
      <c r="AT453" s="832"/>
      <c r="AU453" s="834"/>
    </row>
    <row r="454" spans="1:47" ht="25.5">
      <c r="A454" s="994">
        <v>43</v>
      </c>
      <c r="B454" s="1418" t="s">
        <v>1459</v>
      </c>
      <c r="C454" s="1418"/>
      <c r="D454" s="1418"/>
      <c r="E454" s="1418"/>
      <c r="F454" s="1418"/>
      <c r="G454" s="996" t="s">
        <v>9</v>
      </c>
      <c r="H454" s="1424">
        <v>2019</v>
      </c>
      <c r="I454" s="1424"/>
      <c r="J454" s="1424">
        <v>2021</v>
      </c>
      <c r="K454" s="1424"/>
      <c r="L454" s="1424"/>
      <c r="M454" s="647" t="s">
        <v>2143</v>
      </c>
      <c r="N454" s="1015">
        <v>21500</v>
      </c>
      <c r="O454" s="1015"/>
      <c r="P454" s="1411">
        <v>10000</v>
      </c>
      <c r="Q454" s="1411"/>
      <c r="R454" s="1411"/>
      <c r="S454" s="1411"/>
      <c r="T454" s="1411"/>
      <c r="U454" s="1411"/>
      <c r="V454" s="1411"/>
      <c r="W454" s="1411"/>
      <c r="X454" s="1411"/>
      <c r="Y454" s="1411"/>
      <c r="Z454" s="1411"/>
      <c r="AA454" s="1411"/>
      <c r="AB454" s="1411"/>
      <c r="AC454" s="1411"/>
      <c r="AD454" s="1349">
        <f t="shared" si="263"/>
        <v>6000</v>
      </c>
      <c r="AE454" s="639">
        <f t="shared" si="264"/>
        <v>6000</v>
      </c>
      <c r="AF454" s="1416"/>
      <c r="AG454" s="1103"/>
      <c r="AH454" s="1350" t="s">
        <v>1460</v>
      </c>
      <c r="AK454" s="747" t="s">
        <v>1975</v>
      </c>
      <c r="AL454" s="747" t="s">
        <v>164</v>
      </c>
      <c r="AM454" s="746"/>
      <c r="AN454" s="745" t="s">
        <v>2087</v>
      </c>
      <c r="AO454" s="1002" t="s">
        <v>1425</v>
      </c>
      <c r="AP454" s="1692" t="s">
        <v>1346</v>
      </c>
      <c r="AQ454" s="951"/>
      <c r="AS454" s="832"/>
      <c r="AT454" s="832"/>
      <c r="AU454" s="834"/>
    </row>
    <row r="455" spans="1:47" ht="51">
      <c r="A455" s="1401">
        <v>44</v>
      </c>
      <c r="B455" s="1418" t="s">
        <v>1461</v>
      </c>
      <c r="C455" s="1418"/>
      <c r="D455" s="1418"/>
      <c r="E455" s="1418"/>
      <c r="F455" s="1418"/>
      <c r="G455" s="996" t="s">
        <v>9</v>
      </c>
      <c r="H455" s="1424">
        <v>2019</v>
      </c>
      <c r="I455" s="1424"/>
      <c r="J455" s="1424">
        <v>2021</v>
      </c>
      <c r="K455" s="1424"/>
      <c r="L455" s="1424"/>
      <c r="M455" s="647" t="s">
        <v>2130</v>
      </c>
      <c r="N455" s="1416">
        <v>3957</v>
      </c>
      <c r="O455" s="1416"/>
      <c r="P455" s="1416">
        <v>3957</v>
      </c>
      <c r="Q455" s="1416"/>
      <c r="R455" s="1416"/>
      <c r="S455" s="1416"/>
      <c r="T455" s="1416"/>
      <c r="U455" s="1416"/>
      <c r="V455" s="1416"/>
      <c r="W455" s="1416"/>
      <c r="X455" s="1416"/>
      <c r="Y455" s="1416"/>
      <c r="Z455" s="1416"/>
      <c r="AA455" s="1416"/>
      <c r="AB455" s="1416"/>
      <c r="AC455" s="1416"/>
      <c r="AD455" s="1349">
        <f t="shared" si="263"/>
        <v>2374.1999999999998</v>
      </c>
      <c r="AE455" s="639">
        <f t="shared" si="264"/>
        <v>2374.1999999999998</v>
      </c>
      <c r="AF455" s="1416"/>
      <c r="AG455" s="1103"/>
      <c r="AH455" s="1105"/>
      <c r="AK455" s="747" t="s">
        <v>1983</v>
      </c>
      <c r="AL455" s="747" t="s">
        <v>164</v>
      </c>
      <c r="AM455" s="746"/>
      <c r="AO455" s="1002" t="s">
        <v>1462</v>
      </c>
      <c r="AP455" s="1692" t="s">
        <v>1346</v>
      </c>
      <c r="AQ455" s="1351" t="s">
        <v>1463</v>
      </c>
      <c r="AS455" s="832"/>
      <c r="AT455" s="832"/>
      <c r="AU455" s="834"/>
    </row>
    <row r="456" spans="1:47" ht="51">
      <c r="A456" s="994">
        <v>45</v>
      </c>
      <c r="B456" s="1441" t="s">
        <v>1464</v>
      </c>
      <c r="C456" s="1441"/>
      <c r="D456" s="1441"/>
      <c r="E456" s="1441"/>
      <c r="F456" s="1441"/>
      <c r="G456" s="996" t="s">
        <v>9</v>
      </c>
      <c r="H456" s="1442">
        <v>2019</v>
      </c>
      <c r="I456" s="1442"/>
      <c r="J456" s="1442">
        <v>2021</v>
      </c>
      <c r="K456" s="1442"/>
      <c r="L456" s="1442"/>
      <c r="M456" s="1443" t="s">
        <v>1867</v>
      </c>
      <c r="N456" s="1444">
        <v>1700</v>
      </c>
      <c r="O456" s="1444"/>
      <c r="P456" s="1444">
        <v>1700</v>
      </c>
      <c r="Q456" s="1444"/>
      <c r="R456" s="1444"/>
      <c r="S456" s="1444"/>
      <c r="T456" s="1444"/>
      <c r="U456" s="1444"/>
      <c r="V456" s="1444"/>
      <c r="W456" s="1444"/>
      <c r="X456" s="1444"/>
      <c r="Y456" s="1444"/>
      <c r="Z456" s="1444"/>
      <c r="AA456" s="1444"/>
      <c r="AB456" s="1444"/>
      <c r="AC456" s="1444"/>
      <c r="AD456" s="1349">
        <f>P456*1</f>
        <v>1700</v>
      </c>
      <c r="AE456" s="639">
        <f t="shared" si="264"/>
        <v>1700</v>
      </c>
      <c r="AF456" s="1444"/>
      <c r="AG456" s="1103"/>
      <c r="AH456" s="1350" t="s">
        <v>1465</v>
      </c>
      <c r="AK456" s="747" t="s">
        <v>1986</v>
      </c>
      <c r="AL456" s="747" t="s">
        <v>164</v>
      </c>
      <c r="AM456" s="746"/>
      <c r="AO456" s="1002" t="s">
        <v>1466</v>
      </c>
      <c r="AP456" s="1692" t="s">
        <v>1346</v>
      </c>
      <c r="AQ456" s="1351" t="s">
        <v>1467</v>
      </c>
      <c r="AS456" s="832"/>
      <c r="AT456" s="832"/>
      <c r="AU456" s="834"/>
    </row>
    <row r="457" spans="1:47" ht="51">
      <c r="A457" s="1401">
        <v>46</v>
      </c>
      <c r="B457" s="1445" t="s">
        <v>1468</v>
      </c>
      <c r="C457" s="1445"/>
      <c r="D457" s="1445"/>
      <c r="E457" s="1445"/>
      <c r="F457" s="1445"/>
      <c r="G457" s="1446" t="s">
        <v>44</v>
      </c>
      <c r="H457" s="997">
        <v>2019</v>
      </c>
      <c r="I457" s="997"/>
      <c r="J457" s="997">
        <v>2021</v>
      </c>
      <c r="K457" s="1447"/>
      <c r="L457" s="1447"/>
      <c r="M457" s="1448" t="s">
        <v>1868</v>
      </c>
      <c r="N457" s="1449">
        <v>5000</v>
      </c>
      <c r="O457" s="1449"/>
      <c r="P457" s="1449">
        <v>3000</v>
      </c>
      <c r="Q457" s="1449"/>
      <c r="R457" s="1449"/>
      <c r="S457" s="1449"/>
      <c r="T457" s="1449"/>
      <c r="U457" s="1449"/>
      <c r="V457" s="1449"/>
      <c r="W457" s="1449"/>
      <c r="X457" s="1449"/>
      <c r="Y457" s="1449"/>
      <c r="Z457" s="1449"/>
      <c r="AA457" s="1449"/>
      <c r="AB457" s="1449"/>
      <c r="AC457" s="1449"/>
      <c r="AD457" s="1349">
        <f t="shared" si="263"/>
        <v>1800</v>
      </c>
      <c r="AE457" s="639">
        <f t="shared" si="264"/>
        <v>1800</v>
      </c>
      <c r="AF457" s="1017"/>
      <c r="AG457" s="1021"/>
      <c r="AH457" s="1105"/>
      <c r="AK457" s="747" t="s">
        <v>1987</v>
      </c>
      <c r="AL457" s="747" t="s">
        <v>164</v>
      </c>
      <c r="AM457" s="746" t="s">
        <v>2081</v>
      </c>
      <c r="AN457" s="745" t="s">
        <v>2087</v>
      </c>
      <c r="AO457" s="1440" t="s">
        <v>1469</v>
      </c>
      <c r="AP457" s="1692"/>
      <c r="AQ457" s="945" t="s">
        <v>1470</v>
      </c>
      <c r="AS457" s="832"/>
      <c r="AT457" s="832"/>
      <c r="AU457" s="834"/>
    </row>
    <row r="458" spans="1:47" s="1689" customFormat="1" ht="51.75" customHeight="1">
      <c r="A458" s="1334" t="s">
        <v>472</v>
      </c>
      <c r="B458" s="1335" t="s">
        <v>1245</v>
      </c>
      <c r="C458" s="1335"/>
      <c r="D458" s="1335"/>
      <c r="E458" s="1335"/>
      <c r="F458" s="1335"/>
      <c r="G458" s="1336"/>
      <c r="H458" s="1337"/>
      <c r="I458" s="1337"/>
      <c r="J458" s="1337"/>
      <c r="K458" s="1337"/>
      <c r="L458" s="1337"/>
      <c r="M458" s="1337"/>
      <c r="N458" s="1338">
        <f>SUBTOTAL(109,N459:N508)</f>
        <v>399740</v>
      </c>
      <c r="O458" s="1338">
        <f t="shared" ref="O458:AE458" si="266">SUBTOTAL(109,O459:O508)</f>
        <v>0</v>
      </c>
      <c r="P458" s="1338">
        <f t="shared" si="266"/>
        <v>243682</v>
      </c>
      <c r="Q458" s="1338">
        <f t="shared" si="266"/>
        <v>0</v>
      </c>
      <c r="R458" s="1338">
        <f t="shared" si="266"/>
        <v>0</v>
      </c>
      <c r="S458" s="1338">
        <f t="shared" si="266"/>
        <v>0</v>
      </c>
      <c r="T458" s="1338">
        <f t="shared" si="266"/>
        <v>0</v>
      </c>
      <c r="U458" s="1338">
        <f t="shared" si="266"/>
        <v>0</v>
      </c>
      <c r="V458" s="1338">
        <f t="shared" si="266"/>
        <v>0</v>
      </c>
      <c r="W458" s="1338">
        <f t="shared" si="266"/>
        <v>0</v>
      </c>
      <c r="X458" s="1338">
        <f t="shared" si="266"/>
        <v>0</v>
      </c>
      <c r="Y458" s="1338">
        <f t="shared" si="266"/>
        <v>0</v>
      </c>
      <c r="Z458" s="1338">
        <f t="shared" si="266"/>
        <v>0</v>
      </c>
      <c r="AA458" s="1338">
        <f t="shared" si="266"/>
        <v>0</v>
      </c>
      <c r="AB458" s="1338">
        <f t="shared" si="266"/>
        <v>0</v>
      </c>
      <c r="AC458" s="1338">
        <f t="shared" si="266"/>
        <v>0</v>
      </c>
      <c r="AD458" s="1338">
        <f t="shared" si="266"/>
        <v>0</v>
      </c>
      <c r="AE458" s="1338">
        <f t="shared" si="266"/>
        <v>0</v>
      </c>
      <c r="AF458" s="1338"/>
      <c r="AG458" s="1103"/>
      <c r="AH458" s="1105"/>
      <c r="AK458" s="1690"/>
      <c r="AL458" s="1690"/>
      <c r="AM458" s="1691"/>
      <c r="AN458" s="745"/>
      <c r="AO458" s="1105"/>
      <c r="AP458" s="1588"/>
      <c r="AQ458" s="1339"/>
      <c r="AS458" s="1588"/>
      <c r="AT458" s="1588"/>
      <c r="AU458" s="1598"/>
    </row>
    <row r="459" spans="1:47" ht="39.75" customHeight="1">
      <c r="A459" s="1450" t="s">
        <v>821</v>
      </c>
      <c r="B459" s="1341" t="s">
        <v>1297</v>
      </c>
      <c r="C459" s="1451"/>
      <c r="D459" s="1451"/>
      <c r="E459" s="1451"/>
      <c r="F459" s="1451"/>
      <c r="G459" s="1452"/>
      <c r="H459" s="892"/>
      <c r="I459" s="892"/>
      <c r="J459" s="892"/>
      <c r="K459" s="892"/>
      <c r="L459" s="892"/>
      <c r="M459" s="1453"/>
      <c r="N459" s="1454">
        <f>SUBTOTAL(109,N460:N466)</f>
        <v>41500</v>
      </c>
      <c r="O459" s="1454"/>
      <c r="P459" s="1454">
        <f t="shared" ref="P459:AF459" si="267">SUBTOTAL(109,P460:P466)</f>
        <v>24900</v>
      </c>
      <c r="Q459" s="1454"/>
      <c r="R459" s="1454"/>
      <c r="S459" s="1454"/>
      <c r="T459" s="1454"/>
      <c r="U459" s="1454"/>
      <c r="V459" s="1454"/>
      <c r="W459" s="1454"/>
      <c r="X459" s="1454"/>
      <c r="Y459" s="1454"/>
      <c r="Z459" s="1454"/>
      <c r="AA459" s="1454">
        <f t="shared" si="267"/>
        <v>0</v>
      </c>
      <c r="AB459" s="1454"/>
      <c r="AC459" s="1454">
        <f t="shared" si="267"/>
        <v>0</v>
      </c>
      <c r="AD459" s="1454">
        <f t="shared" si="267"/>
        <v>0</v>
      </c>
      <c r="AE459" s="1454">
        <f t="shared" si="267"/>
        <v>0</v>
      </c>
      <c r="AF459" s="1454">
        <f t="shared" si="267"/>
        <v>0</v>
      </c>
      <c r="AG459" s="1455"/>
      <c r="AH459" s="1455"/>
      <c r="AK459" s="747"/>
      <c r="AL459" s="747"/>
      <c r="AM459" s="746"/>
      <c r="AO459" s="895"/>
      <c r="AP459" s="1692"/>
      <c r="AQ459" s="1456"/>
      <c r="AS459" s="832"/>
      <c r="AT459" s="832"/>
      <c r="AU459" s="834"/>
    </row>
    <row r="460" spans="1:47" ht="51">
      <c r="A460" s="1008">
        <v>1</v>
      </c>
      <c r="B460" s="995" t="s">
        <v>1471</v>
      </c>
      <c r="C460" s="995"/>
      <c r="D460" s="995"/>
      <c r="E460" s="995"/>
      <c r="F460" s="995"/>
      <c r="G460" s="996" t="s">
        <v>33</v>
      </c>
      <c r="H460" s="1010">
        <v>2019</v>
      </c>
      <c r="I460" s="1010"/>
      <c r="J460" s="1010">
        <v>2021</v>
      </c>
      <c r="K460" s="1010"/>
      <c r="L460" s="1010"/>
      <c r="M460" s="1457" t="s">
        <v>2065</v>
      </c>
      <c r="N460" s="1388">
        <v>5000</v>
      </c>
      <c r="O460" s="1388"/>
      <c r="P460" s="1388">
        <v>3000</v>
      </c>
      <c r="Q460" s="1388"/>
      <c r="R460" s="1388"/>
      <c r="S460" s="1388"/>
      <c r="T460" s="1388"/>
      <c r="U460" s="1388"/>
      <c r="V460" s="1388"/>
      <c r="W460" s="1388"/>
      <c r="X460" s="1388"/>
      <c r="Y460" s="1388"/>
      <c r="Z460" s="1388"/>
      <c r="AA460" s="1388"/>
      <c r="AB460" s="1388"/>
      <c r="AC460" s="1388"/>
      <c r="AD460" s="639">
        <f>P460*0</f>
        <v>0</v>
      </c>
      <c r="AE460" s="639">
        <f t="shared" ref="AE460:AE504" si="268">AD460</f>
        <v>0</v>
      </c>
      <c r="AF460" s="1355"/>
      <c r="AG460" s="1103"/>
      <c r="AH460" s="996" t="s">
        <v>1472</v>
      </c>
      <c r="AK460" s="747" t="s">
        <v>1757</v>
      </c>
      <c r="AL460" s="747" t="s">
        <v>2061</v>
      </c>
      <c r="AM460" s="746"/>
      <c r="AN460" s="745" t="s">
        <v>2087</v>
      </c>
      <c r="AO460" s="1365" t="s">
        <v>934</v>
      </c>
      <c r="AP460" s="1692" t="s">
        <v>1309</v>
      </c>
      <c r="AQ460" s="1357" t="s">
        <v>1473</v>
      </c>
      <c r="AS460" s="832"/>
      <c r="AT460" s="832"/>
      <c r="AU460" s="834"/>
    </row>
    <row r="461" spans="1:47" ht="51">
      <c r="A461" s="1008">
        <v>2</v>
      </c>
      <c r="B461" s="995" t="s">
        <v>1474</v>
      </c>
      <c r="C461" s="995"/>
      <c r="D461" s="995"/>
      <c r="E461" s="995"/>
      <c r="F461" s="995"/>
      <c r="G461" s="996" t="s">
        <v>46</v>
      </c>
      <c r="H461" s="1010">
        <v>2019</v>
      </c>
      <c r="I461" s="1010"/>
      <c r="J461" s="1010">
        <v>2021</v>
      </c>
      <c r="K461" s="1010"/>
      <c r="L461" s="1010"/>
      <c r="M461" s="516"/>
      <c r="N461" s="1388">
        <v>13000</v>
      </c>
      <c r="O461" s="1388"/>
      <c r="P461" s="1388">
        <v>7800</v>
      </c>
      <c r="Q461" s="1388"/>
      <c r="R461" s="1388"/>
      <c r="S461" s="1388"/>
      <c r="T461" s="1388"/>
      <c r="U461" s="1388"/>
      <c r="V461" s="1388"/>
      <c r="W461" s="1388"/>
      <c r="X461" s="1388"/>
      <c r="Y461" s="1388"/>
      <c r="Z461" s="1388"/>
      <c r="AA461" s="1388"/>
      <c r="AB461" s="1388"/>
      <c r="AC461" s="1388"/>
      <c r="AD461" s="639">
        <f t="shared" ref="AD461:AD504" si="269">P461*0</f>
        <v>0</v>
      </c>
      <c r="AE461" s="639">
        <f t="shared" si="268"/>
        <v>0</v>
      </c>
      <c r="AF461" s="1355"/>
      <c r="AG461" s="1103"/>
      <c r="AH461" s="996" t="s">
        <v>1472</v>
      </c>
      <c r="AK461" s="747" t="s">
        <v>1988</v>
      </c>
      <c r="AL461" s="747" t="s">
        <v>2061</v>
      </c>
      <c r="AM461" s="746"/>
      <c r="AN461" s="745" t="s">
        <v>2087</v>
      </c>
      <c r="AO461" s="1365" t="s">
        <v>963</v>
      </c>
      <c r="AP461" s="1692" t="s">
        <v>1309</v>
      </c>
      <c r="AQ461" s="1357" t="s">
        <v>1475</v>
      </c>
      <c r="AS461" s="832"/>
      <c r="AT461" s="832"/>
      <c r="AU461" s="834"/>
    </row>
    <row r="462" spans="1:47" ht="53.25" customHeight="1">
      <c r="A462" s="1008">
        <v>3</v>
      </c>
      <c r="B462" s="995" t="s">
        <v>1476</v>
      </c>
      <c r="C462" s="995"/>
      <c r="D462" s="995"/>
      <c r="E462" s="995"/>
      <c r="F462" s="995"/>
      <c r="G462" s="996" t="s">
        <v>10</v>
      </c>
      <c r="H462" s="1010">
        <v>2019</v>
      </c>
      <c r="I462" s="1010"/>
      <c r="J462" s="1010">
        <v>2021</v>
      </c>
      <c r="K462" s="1010"/>
      <c r="L462" s="1010"/>
      <c r="M462" s="1410" t="s">
        <v>1477</v>
      </c>
      <c r="N462" s="998">
        <v>7000</v>
      </c>
      <c r="O462" s="998"/>
      <c r="P462" s="998">
        <v>4200</v>
      </c>
      <c r="Q462" s="998"/>
      <c r="R462" s="998"/>
      <c r="S462" s="998"/>
      <c r="T462" s="998"/>
      <c r="U462" s="998"/>
      <c r="V462" s="998"/>
      <c r="W462" s="998"/>
      <c r="X462" s="998"/>
      <c r="Y462" s="998"/>
      <c r="Z462" s="998"/>
      <c r="AA462" s="998"/>
      <c r="AB462" s="998"/>
      <c r="AC462" s="998"/>
      <c r="AD462" s="639">
        <f t="shared" si="269"/>
        <v>0</v>
      </c>
      <c r="AE462" s="639">
        <f t="shared" si="268"/>
        <v>0</v>
      </c>
      <c r="AF462" s="1355"/>
      <c r="AG462" s="1103"/>
      <c r="AH462" s="996" t="s">
        <v>1472</v>
      </c>
      <c r="AK462" s="747" t="s">
        <v>1989</v>
      </c>
      <c r="AL462" s="747" t="s">
        <v>41</v>
      </c>
      <c r="AM462" s="746" t="s">
        <v>2080</v>
      </c>
      <c r="AN462" s="745" t="s">
        <v>2087</v>
      </c>
      <c r="AO462" s="1365" t="s">
        <v>880</v>
      </c>
      <c r="AP462" s="1692" t="s">
        <v>1309</v>
      </c>
      <c r="AQ462" s="1362" t="s">
        <v>1478</v>
      </c>
      <c r="AS462" s="832"/>
      <c r="AT462" s="832"/>
      <c r="AU462" s="834"/>
    </row>
    <row r="463" spans="1:47" ht="39.75" customHeight="1">
      <c r="A463" s="1008">
        <v>4</v>
      </c>
      <c r="B463" s="995" t="s">
        <v>1479</v>
      </c>
      <c r="C463" s="995"/>
      <c r="D463" s="995"/>
      <c r="E463" s="995"/>
      <c r="F463" s="995"/>
      <c r="G463" s="996" t="s">
        <v>10</v>
      </c>
      <c r="H463" s="1010">
        <v>2019</v>
      </c>
      <c r="I463" s="1010"/>
      <c r="J463" s="1010">
        <v>2021</v>
      </c>
      <c r="K463" s="1010"/>
      <c r="L463" s="1010"/>
      <c r="M463" s="1410" t="s">
        <v>1480</v>
      </c>
      <c r="N463" s="998">
        <v>4500</v>
      </c>
      <c r="O463" s="998"/>
      <c r="P463" s="998">
        <v>2700</v>
      </c>
      <c r="Q463" s="998"/>
      <c r="R463" s="998"/>
      <c r="S463" s="998"/>
      <c r="T463" s="998"/>
      <c r="U463" s="998"/>
      <c r="V463" s="998"/>
      <c r="W463" s="998"/>
      <c r="X463" s="998"/>
      <c r="Y463" s="998"/>
      <c r="Z463" s="998"/>
      <c r="AA463" s="998"/>
      <c r="AB463" s="998"/>
      <c r="AC463" s="998"/>
      <c r="AD463" s="639">
        <f t="shared" si="269"/>
        <v>0</v>
      </c>
      <c r="AE463" s="639">
        <f t="shared" si="268"/>
        <v>0</v>
      </c>
      <c r="AF463" s="1355"/>
      <c r="AG463" s="1103"/>
      <c r="AH463" s="996" t="s">
        <v>1472</v>
      </c>
      <c r="AK463" s="747" t="s">
        <v>1959</v>
      </c>
      <c r="AL463" s="747" t="s">
        <v>2061</v>
      </c>
      <c r="AM463" s="746"/>
      <c r="AN463" s="745" t="s">
        <v>2087</v>
      </c>
      <c r="AO463" s="1365" t="s">
        <v>880</v>
      </c>
      <c r="AP463" s="1692" t="s">
        <v>1309</v>
      </c>
      <c r="AQ463" s="1362" t="s">
        <v>1481</v>
      </c>
      <c r="AS463" s="832"/>
      <c r="AT463" s="832"/>
      <c r="AU463" s="834"/>
    </row>
    <row r="464" spans="1:47" ht="76.5">
      <c r="A464" s="1008">
        <v>5</v>
      </c>
      <c r="B464" s="1384" t="s">
        <v>1482</v>
      </c>
      <c r="C464" s="1384"/>
      <c r="D464" s="1384"/>
      <c r="E464" s="1384"/>
      <c r="F464" s="1384"/>
      <c r="G464" s="996" t="s">
        <v>33</v>
      </c>
      <c r="H464" s="1010">
        <v>2019</v>
      </c>
      <c r="I464" s="1010"/>
      <c r="J464" s="1010">
        <v>2021</v>
      </c>
      <c r="K464" s="1010"/>
      <c r="L464" s="1010"/>
      <c r="M464" s="1426" t="s">
        <v>2095</v>
      </c>
      <c r="N464" s="1360">
        <v>5000</v>
      </c>
      <c r="O464" s="1360"/>
      <c r="P464" s="1360">
        <f>N464*0.6</f>
        <v>3000</v>
      </c>
      <c r="Q464" s="1360"/>
      <c r="R464" s="1360"/>
      <c r="S464" s="1360"/>
      <c r="T464" s="1360"/>
      <c r="U464" s="1360"/>
      <c r="V464" s="1360"/>
      <c r="W464" s="1360"/>
      <c r="X464" s="1360"/>
      <c r="Y464" s="1360"/>
      <c r="Z464" s="1360"/>
      <c r="AA464" s="1360"/>
      <c r="AB464" s="1360"/>
      <c r="AC464" s="1360"/>
      <c r="AD464" s="639">
        <f t="shared" si="269"/>
        <v>0</v>
      </c>
      <c r="AE464" s="639">
        <f t="shared" si="268"/>
        <v>0</v>
      </c>
      <c r="AF464" s="1355"/>
      <c r="AG464" s="1103"/>
      <c r="AH464" s="1000" t="s">
        <v>1483</v>
      </c>
      <c r="AK464" s="747" t="s">
        <v>1990</v>
      </c>
      <c r="AL464" s="747" t="str">
        <f>$AL$463</f>
        <v>GT</v>
      </c>
      <c r="AM464" s="746"/>
      <c r="AN464" s="745" t="s">
        <v>2087</v>
      </c>
      <c r="AO464" s="1458" t="s">
        <v>934</v>
      </c>
      <c r="AP464" s="1012" t="s">
        <v>1484</v>
      </c>
      <c r="AQ464" s="1357" t="s">
        <v>1485</v>
      </c>
      <c r="AS464" s="832"/>
      <c r="AT464" s="832"/>
      <c r="AU464" s="834"/>
    </row>
    <row r="465" spans="1:47" ht="76.5">
      <c r="A465" s="1008">
        <v>6</v>
      </c>
      <c r="B465" s="995" t="s">
        <v>1486</v>
      </c>
      <c r="C465" s="1459"/>
      <c r="D465" s="1459"/>
      <c r="E465" s="1459"/>
      <c r="F465" s="1459"/>
      <c r="G465" s="1346" t="s">
        <v>17</v>
      </c>
      <c r="H465" s="1010">
        <v>2019</v>
      </c>
      <c r="I465" s="1010"/>
      <c r="J465" s="1010">
        <v>2021</v>
      </c>
      <c r="K465" s="1010"/>
      <c r="L465" s="1010"/>
      <c r="M465" s="1363"/>
      <c r="N465" s="854">
        <v>3000</v>
      </c>
      <c r="O465" s="854"/>
      <c r="P465" s="1360">
        <f>N465*0.6</f>
        <v>1800</v>
      </c>
      <c r="Q465" s="1360"/>
      <c r="R465" s="1360"/>
      <c r="S465" s="1360"/>
      <c r="T465" s="1360"/>
      <c r="U465" s="1360"/>
      <c r="V465" s="1360"/>
      <c r="W465" s="1360"/>
      <c r="X465" s="1360"/>
      <c r="Y465" s="1360"/>
      <c r="Z465" s="1360"/>
      <c r="AA465" s="1360"/>
      <c r="AB465" s="1360"/>
      <c r="AC465" s="1360"/>
      <c r="AD465" s="639">
        <f t="shared" si="269"/>
        <v>0</v>
      </c>
      <c r="AE465" s="639">
        <f t="shared" si="268"/>
        <v>0</v>
      </c>
      <c r="AF465" s="1355"/>
      <c r="AG465" s="1103"/>
      <c r="AH465" s="516" t="s">
        <v>1487</v>
      </c>
      <c r="AK465" s="747" t="s">
        <v>1991</v>
      </c>
      <c r="AL465" s="747" t="s">
        <v>41</v>
      </c>
      <c r="AM465" s="746"/>
      <c r="AN465" s="745" t="s">
        <v>2087</v>
      </c>
      <c r="AO465" s="1361" t="s">
        <v>844</v>
      </c>
      <c r="AP465" s="1012" t="s">
        <v>1484</v>
      </c>
      <c r="AQ465" s="1460"/>
      <c r="AS465" s="832"/>
      <c r="AT465" s="832"/>
      <c r="AU465" s="834"/>
    </row>
    <row r="466" spans="1:47" ht="63.75">
      <c r="A466" s="1008">
        <v>7</v>
      </c>
      <c r="B466" s="1461" t="s">
        <v>1488</v>
      </c>
      <c r="C466" s="1461"/>
      <c r="D466" s="1461"/>
      <c r="E466" s="1461"/>
      <c r="F466" s="1461"/>
      <c r="G466" s="1358" t="s">
        <v>9</v>
      </c>
      <c r="H466" s="1462">
        <v>2019</v>
      </c>
      <c r="I466" s="1462"/>
      <c r="J466" s="1462">
        <v>2021</v>
      </c>
      <c r="K466" s="1462"/>
      <c r="L466" s="1462"/>
      <c r="M466" s="1463" t="s">
        <v>2077</v>
      </c>
      <c r="N466" s="1464">
        <v>4000</v>
      </c>
      <c r="O466" s="1464"/>
      <c r="P466" s="1465">
        <v>2400</v>
      </c>
      <c r="Q466" s="1465"/>
      <c r="R466" s="1465"/>
      <c r="S466" s="1465"/>
      <c r="T466" s="1465"/>
      <c r="U466" s="1465"/>
      <c r="V466" s="1465"/>
      <c r="W466" s="1465"/>
      <c r="X466" s="1465"/>
      <c r="Y466" s="1465"/>
      <c r="Z466" s="1465"/>
      <c r="AA466" s="1465"/>
      <c r="AB466" s="1465"/>
      <c r="AC466" s="1465"/>
      <c r="AD466" s="639">
        <f t="shared" si="269"/>
        <v>0</v>
      </c>
      <c r="AE466" s="639">
        <f t="shared" si="268"/>
        <v>0</v>
      </c>
      <c r="AF466" s="1355"/>
      <c r="AG466" s="1103"/>
      <c r="AH466" s="1358" t="s">
        <v>1489</v>
      </c>
      <c r="AK466" s="747" t="s">
        <v>1992</v>
      </c>
      <c r="AL466" s="747" t="s">
        <v>2061</v>
      </c>
      <c r="AM466" s="746"/>
      <c r="AN466" s="745" t="s">
        <v>2087</v>
      </c>
      <c r="AO466" s="1422" t="s">
        <v>889</v>
      </c>
      <c r="AP466" s="1704" t="s">
        <v>1490</v>
      </c>
      <c r="AQ466" s="1460"/>
      <c r="AS466" s="832"/>
      <c r="AT466" s="832"/>
      <c r="AU466" s="834"/>
    </row>
    <row r="467" spans="1:47" ht="13.5">
      <c r="A467" s="1450" t="s">
        <v>825</v>
      </c>
      <c r="B467" s="1451" t="s">
        <v>1344</v>
      </c>
      <c r="C467" s="1451"/>
      <c r="D467" s="1451"/>
      <c r="E467" s="1451"/>
      <c r="F467" s="1451"/>
      <c r="G467" s="1452"/>
      <c r="H467" s="892"/>
      <c r="I467" s="892"/>
      <c r="J467" s="892"/>
      <c r="K467" s="892"/>
      <c r="L467" s="892"/>
      <c r="M467" s="1453"/>
      <c r="N467" s="1454">
        <f>SUBTOTAL(109,N468:N508)</f>
        <v>358240</v>
      </c>
      <c r="O467" s="1454">
        <f t="shared" ref="O467:AE467" si="270">SUBTOTAL(109,O468:O508)</f>
        <v>0</v>
      </c>
      <c r="P467" s="1454">
        <f t="shared" si="270"/>
        <v>218782</v>
      </c>
      <c r="Q467" s="1454">
        <f t="shared" si="270"/>
        <v>0</v>
      </c>
      <c r="R467" s="1454">
        <f t="shared" si="270"/>
        <v>0</v>
      </c>
      <c r="S467" s="1454">
        <f t="shared" si="270"/>
        <v>0</v>
      </c>
      <c r="T467" s="1454">
        <f t="shared" si="270"/>
        <v>0</v>
      </c>
      <c r="U467" s="1454">
        <f t="shared" si="270"/>
        <v>0</v>
      </c>
      <c r="V467" s="1454">
        <f t="shared" si="270"/>
        <v>0</v>
      </c>
      <c r="W467" s="1454">
        <f t="shared" si="270"/>
        <v>0</v>
      </c>
      <c r="X467" s="1454">
        <f t="shared" si="270"/>
        <v>0</v>
      </c>
      <c r="Y467" s="1454">
        <f t="shared" si="270"/>
        <v>0</v>
      </c>
      <c r="Z467" s="1454">
        <f t="shared" si="270"/>
        <v>0</v>
      </c>
      <c r="AA467" s="1454">
        <f t="shared" si="270"/>
        <v>0</v>
      </c>
      <c r="AB467" s="1454">
        <f t="shared" si="270"/>
        <v>0</v>
      </c>
      <c r="AC467" s="1454">
        <f t="shared" si="270"/>
        <v>0</v>
      </c>
      <c r="AD467" s="1454">
        <f t="shared" si="270"/>
        <v>0</v>
      </c>
      <c r="AE467" s="1454">
        <f t="shared" si="270"/>
        <v>0</v>
      </c>
      <c r="AF467" s="1454">
        <f>SUBTOTAL(109,AF468:AF504)</f>
        <v>0</v>
      </c>
      <c r="AG467" s="1455"/>
      <c r="AH467" s="1455"/>
      <c r="AK467" s="747"/>
      <c r="AL467" s="747"/>
      <c r="AM467" s="746"/>
      <c r="AO467" s="895"/>
      <c r="AP467" s="1692"/>
      <c r="AQ467" s="1456"/>
      <c r="AS467" s="832"/>
      <c r="AT467" s="832"/>
      <c r="AU467" s="834"/>
    </row>
    <row r="468" spans="1:47" ht="51">
      <c r="A468" s="1008">
        <v>1</v>
      </c>
      <c r="B468" s="1418" t="s">
        <v>1491</v>
      </c>
      <c r="C468" s="1418"/>
      <c r="D468" s="1418"/>
      <c r="E468" s="1418"/>
      <c r="F468" s="1418"/>
      <c r="G468" s="996" t="s">
        <v>46</v>
      </c>
      <c r="H468" s="1000">
        <v>2019</v>
      </c>
      <c r="I468" s="1000"/>
      <c r="J468" s="1000">
        <v>2021</v>
      </c>
      <c r="K468" s="1000"/>
      <c r="L468" s="1000"/>
      <c r="M468" s="1410" t="s">
        <v>1492</v>
      </c>
      <c r="N468" s="1417">
        <v>10000</v>
      </c>
      <c r="O468" s="1417"/>
      <c r="P468" s="1417">
        <v>6000</v>
      </c>
      <c r="Q468" s="1417"/>
      <c r="R468" s="1417"/>
      <c r="S468" s="1417"/>
      <c r="T468" s="1417"/>
      <c r="U468" s="1417"/>
      <c r="V468" s="1417"/>
      <c r="W468" s="1417"/>
      <c r="X468" s="1417"/>
      <c r="Y468" s="1417"/>
      <c r="Z468" s="1417"/>
      <c r="AA468" s="1417"/>
      <c r="AB468" s="1417"/>
      <c r="AC468" s="1417"/>
      <c r="AD468" s="639">
        <f t="shared" si="269"/>
        <v>0</v>
      </c>
      <c r="AE468" s="639">
        <f t="shared" si="268"/>
        <v>0</v>
      </c>
      <c r="AF468" s="1355"/>
      <c r="AG468" s="1103"/>
      <c r="AH468" s="996" t="s">
        <v>1472</v>
      </c>
      <c r="AK468" s="747" t="s">
        <v>1993</v>
      </c>
      <c r="AL468" s="747" t="s">
        <v>2061</v>
      </c>
      <c r="AM468" s="746"/>
      <c r="AN468" s="745" t="s">
        <v>2087</v>
      </c>
      <c r="AO468" s="640" t="s">
        <v>963</v>
      </c>
      <c r="AP468" s="1692" t="s">
        <v>1309</v>
      </c>
      <c r="AQ468" s="1362" t="s">
        <v>1493</v>
      </c>
      <c r="AS468" s="832"/>
      <c r="AT468" s="832"/>
      <c r="AU468" s="834"/>
    </row>
    <row r="469" spans="1:47" ht="51">
      <c r="A469" s="1008">
        <v>2</v>
      </c>
      <c r="B469" s="1418" t="s">
        <v>1494</v>
      </c>
      <c r="C469" s="1418"/>
      <c r="D469" s="1418"/>
      <c r="E469" s="1418"/>
      <c r="F469" s="1418"/>
      <c r="G469" s="996" t="s">
        <v>46</v>
      </c>
      <c r="H469" s="1000">
        <v>2019</v>
      </c>
      <c r="I469" s="1000"/>
      <c r="J469" s="1000">
        <v>2021</v>
      </c>
      <c r="K469" s="1000"/>
      <c r="L469" s="1000"/>
      <c r="M469" s="1410" t="s">
        <v>1635</v>
      </c>
      <c r="N469" s="1417">
        <v>10940</v>
      </c>
      <c r="O469" s="1417"/>
      <c r="P469" s="1417">
        <v>6642</v>
      </c>
      <c r="Q469" s="1417"/>
      <c r="R469" s="1417"/>
      <c r="S469" s="1417"/>
      <c r="T469" s="1417"/>
      <c r="U469" s="1417"/>
      <c r="V469" s="1417"/>
      <c r="W469" s="1417"/>
      <c r="X469" s="1417"/>
      <c r="Y469" s="1417"/>
      <c r="Z469" s="1417"/>
      <c r="AA469" s="1417"/>
      <c r="AB469" s="1417"/>
      <c r="AC469" s="1417"/>
      <c r="AD469" s="639">
        <f t="shared" si="269"/>
        <v>0</v>
      </c>
      <c r="AE469" s="639">
        <f t="shared" si="268"/>
        <v>0</v>
      </c>
      <c r="AF469" s="1355"/>
      <c r="AG469" s="1103"/>
      <c r="AH469" s="996" t="s">
        <v>1472</v>
      </c>
      <c r="AK469" s="747" t="s">
        <v>1982</v>
      </c>
      <c r="AL469" s="747" t="s">
        <v>2061</v>
      </c>
      <c r="AM469" s="746"/>
      <c r="AN469" s="745" t="s">
        <v>2087</v>
      </c>
      <c r="AO469" s="640" t="s">
        <v>963</v>
      </c>
      <c r="AP469" s="1692" t="s">
        <v>1309</v>
      </c>
      <c r="AQ469" s="1362" t="s">
        <v>1495</v>
      </c>
      <c r="AS469" s="832"/>
      <c r="AT469" s="832"/>
      <c r="AU469" s="834"/>
    </row>
    <row r="470" spans="1:47" ht="51">
      <c r="A470" s="1008">
        <v>3</v>
      </c>
      <c r="B470" s="1466" t="s">
        <v>1496</v>
      </c>
      <c r="C470" s="1418"/>
      <c r="D470" s="1418"/>
      <c r="E470" s="1418"/>
      <c r="F470" s="1418"/>
      <c r="G470" s="996" t="s">
        <v>33</v>
      </c>
      <c r="H470" s="1000">
        <v>2019</v>
      </c>
      <c r="I470" s="1000"/>
      <c r="J470" s="1000">
        <v>2021</v>
      </c>
      <c r="K470" s="1000"/>
      <c r="L470" s="1000"/>
      <c r="M470" s="1410" t="s">
        <v>1497</v>
      </c>
      <c r="N470" s="1417">
        <v>8000</v>
      </c>
      <c r="O470" s="1417"/>
      <c r="P470" s="1417">
        <v>4800</v>
      </c>
      <c r="Q470" s="1417"/>
      <c r="R470" s="1417"/>
      <c r="S470" s="1417"/>
      <c r="T470" s="1417"/>
      <c r="U470" s="1417"/>
      <c r="V470" s="1417"/>
      <c r="W470" s="1417"/>
      <c r="X470" s="1417"/>
      <c r="Y470" s="1417"/>
      <c r="Z470" s="1417"/>
      <c r="AA470" s="1417"/>
      <c r="AB470" s="1417"/>
      <c r="AC470" s="1417"/>
      <c r="AD470" s="639">
        <f t="shared" si="269"/>
        <v>0</v>
      </c>
      <c r="AE470" s="639">
        <f t="shared" si="268"/>
        <v>0</v>
      </c>
      <c r="AF470" s="1355"/>
      <c r="AG470" s="1103"/>
      <c r="AH470" s="996" t="s">
        <v>1472</v>
      </c>
      <c r="AK470" s="747" t="s">
        <v>1994</v>
      </c>
      <c r="AL470" s="747" t="s">
        <v>41</v>
      </c>
      <c r="AM470" s="746"/>
      <c r="AN470" s="745" t="s">
        <v>2087</v>
      </c>
      <c r="AO470" s="640" t="s">
        <v>934</v>
      </c>
      <c r="AP470" s="1692" t="s">
        <v>1309</v>
      </c>
      <c r="AQ470" s="1362" t="s">
        <v>1498</v>
      </c>
      <c r="AS470" s="832"/>
      <c r="AT470" s="832"/>
      <c r="AU470" s="834"/>
    </row>
    <row r="471" spans="1:47" ht="51">
      <c r="A471" s="1008">
        <v>4</v>
      </c>
      <c r="B471" s="1418" t="s">
        <v>1499</v>
      </c>
      <c r="C471" s="1418"/>
      <c r="D471" s="1418"/>
      <c r="E471" s="1418"/>
      <c r="F471" s="1418"/>
      <c r="G471" s="996" t="s">
        <v>33</v>
      </c>
      <c r="H471" s="1000">
        <v>2019</v>
      </c>
      <c r="I471" s="1000"/>
      <c r="J471" s="1000">
        <v>2021</v>
      </c>
      <c r="K471" s="1000"/>
      <c r="L471" s="1000"/>
      <c r="M471" s="1467" t="s">
        <v>2066</v>
      </c>
      <c r="N471" s="1417">
        <v>9500</v>
      </c>
      <c r="O471" s="1417"/>
      <c r="P471" s="1417">
        <v>5700</v>
      </c>
      <c r="Q471" s="1417"/>
      <c r="R471" s="1417"/>
      <c r="S471" s="1417"/>
      <c r="T471" s="1417"/>
      <c r="U471" s="1417"/>
      <c r="V471" s="1417"/>
      <c r="W471" s="1417"/>
      <c r="X471" s="1417"/>
      <c r="Y471" s="1417"/>
      <c r="Z471" s="1417"/>
      <c r="AA471" s="1417"/>
      <c r="AB471" s="1417"/>
      <c r="AC471" s="1417"/>
      <c r="AD471" s="639">
        <f t="shared" si="269"/>
        <v>0</v>
      </c>
      <c r="AE471" s="639">
        <f t="shared" si="268"/>
        <v>0</v>
      </c>
      <c r="AF471" s="1355"/>
      <c r="AG471" s="1103"/>
      <c r="AH471" s="996" t="s">
        <v>1472</v>
      </c>
      <c r="AK471" s="747" t="s">
        <v>1995</v>
      </c>
      <c r="AL471" s="747" t="s">
        <v>2061</v>
      </c>
      <c r="AM471" s="746" t="s">
        <v>2081</v>
      </c>
      <c r="AN471" s="745" t="s">
        <v>2087</v>
      </c>
      <c r="AO471" s="640" t="s">
        <v>1044</v>
      </c>
      <c r="AP471" s="1692" t="s">
        <v>1346</v>
      </c>
      <c r="AQ471" s="1362" t="s">
        <v>1500</v>
      </c>
      <c r="AS471" s="832"/>
      <c r="AT471" s="832"/>
      <c r="AU471" s="834"/>
    </row>
    <row r="472" spans="1:47" s="1592" customFormat="1" ht="51">
      <c r="A472" s="1367">
        <v>5</v>
      </c>
      <c r="B472" s="1468" t="s">
        <v>1501</v>
      </c>
      <c r="C472" s="1468"/>
      <c r="D472" s="1468"/>
      <c r="E472" s="1468"/>
      <c r="F472" s="1468"/>
      <c r="G472" s="1469" t="s">
        <v>44</v>
      </c>
      <c r="H472" s="1470">
        <v>2020</v>
      </c>
      <c r="I472" s="1470"/>
      <c r="J472" s="1470">
        <v>2021</v>
      </c>
      <c r="K472" s="1470"/>
      <c r="L472" s="1470"/>
      <c r="M472" s="1471"/>
      <c r="N472" s="1472">
        <v>5000</v>
      </c>
      <c r="O472" s="1472"/>
      <c r="P472" s="1473">
        <v>3000</v>
      </c>
      <c r="Q472" s="1473"/>
      <c r="R472" s="1473"/>
      <c r="S472" s="1473"/>
      <c r="T472" s="1473"/>
      <c r="U472" s="1473"/>
      <c r="V472" s="1473"/>
      <c r="W472" s="1473"/>
      <c r="X472" s="1473"/>
      <c r="Y472" s="1473"/>
      <c r="Z472" s="1473"/>
      <c r="AA472" s="1473"/>
      <c r="AB472" s="1473"/>
      <c r="AC472" s="1473"/>
      <c r="AD472" s="1474">
        <f t="shared" si="269"/>
        <v>0</v>
      </c>
      <c r="AE472" s="1474">
        <f t="shared" si="268"/>
        <v>0</v>
      </c>
      <c r="AF472" s="1475"/>
      <c r="AG472" s="1476"/>
      <c r="AH472" s="1695" t="s">
        <v>1920</v>
      </c>
      <c r="AI472" s="1695" t="s">
        <v>1920</v>
      </c>
      <c r="AJ472" s="1592" t="s">
        <v>1931</v>
      </c>
      <c r="AK472" s="1545" t="s">
        <v>1996</v>
      </c>
      <c r="AL472" s="747" t="s">
        <v>2061</v>
      </c>
      <c r="AM472" s="1593"/>
      <c r="AN472" s="745" t="s">
        <v>2087</v>
      </c>
      <c r="AO472" s="1477" t="s">
        <v>1503</v>
      </c>
      <c r="AP472" s="1705" t="s">
        <v>1185</v>
      </c>
      <c r="AQ472" s="1478" t="s">
        <v>1504</v>
      </c>
      <c r="AS472" s="1593"/>
      <c r="AT472" s="1593"/>
      <c r="AU472" s="1696"/>
    </row>
    <row r="473" spans="1:47" ht="51">
      <c r="A473" s="1008">
        <v>6</v>
      </c>
      <c r="B473" s="1479" t="s">
        <v>1505</v>
      </c>
      <c r="C473" s="1479"/>
      <c r="D473" s="1479"/>
      <c r="E473" s="1479"/>
      <c r="F473" s="1479"/>
      <c r="G473" s="1446" t="s">
        <v>44</v>
      </c>
      <c r="H473" s="1480">
        <v>2019</v>
      </c>
      <c r="I473" s="1480"/>
      <c r="J473" s="1480">
        <v>2021</v>
      </c>
      <c r="K473" s="1480"/>
      <c r="L473" s="1480"/>
      <c r="M473" s="1481"/>
      <c r="N473" s="1482">
        <v>7000</v>
      </c>
      <c r="O473" s="1482"/>
      <c r="P473" s="1483">
        <v>4200</v>
      </c>
      <c r="Q473" s="1483"/>
      <c r="R473" s="1483"/>
      <c r="S473" s="1483"/>
      <c r="T473" s="1483"/>
      <c r="U473" s="1483"/>
      <c r="V473" s="1483"/>
      <c r="W473" s="1483"/>
      <c r="X473" s="1483"/>
      <c r="Y473" s="1483"/>
      <c r="Z473" s="1483"/>
      <c r="AA473" s="1483"/>
      <c r="AB473" s="1483"/>
      <c r="AC473" s="1483"/>
      <c r="AD473" s="639">
        <f t="shared" si="269"/>
        <v>0</v>
      </c>
      <c r="AE473" s="639">
        <f t="shared" si="268"/>
        <v>0</v>
      </c>
      <c r="AF473" s="1484"/>
      <c r="AG473" s="1485"/>
      <c r="AH473" s="1365" t="s">
        <v>1502</v>
      </c>
      <c r="AK473" s="747" t="s">
        <v>1997</v>
      </c>
      <c r="AL473" s="747" t="s">
        <v>2061</v>
      </c>
      <c r="AM473" s="746" t="s">
        <v>2081</v>
      </c>
      <c r="AN473" s="745" t="s">
        <v>2087</v>
      </c>
      <c r="AO473" s="1486" t="s">
        <v>1178</v>
      </c>
      <c r="AP473" s="1692" t="s">
        <v>1185</v>
      </c>
      <c r="AQ473" s="951" t="s">
        <v>1506</v>
      </c>
      <c r="AS473" s="832"/>
      <c r="AT473" s="832"/>
      <c r="AU473" s="834"/>
    </row>
    <row r="474" spans="1:47" ht="51">
      <c r="A474" s="1008">
        <v>7</v>
      </c>
      <c r="B474" s="1479" t="s">
        <v>1507</v>
      </c>
      <c r="C474" s="1479"/>
      <c r="D474" s="1479"/>
      <c r="E474" s="1479"/>
      <c r="F474" s="1479"/>
      <c r="G474" s="1446" t="s">
        <v>44</v>
      </c>
      <c r="H474" s="1480">
        <v>2019</v>
      </c>
      <c r="I474" s="1480"/>
      <c r="J474" s="1480">
        <v>2021</v>
      </c>
      <c r="K474" s="1480"/>
      <c r="L474" s="1480"/>
      <c r="M474" s="1467" t="s">
        <v>1898</v>
      </c>
      <c r="N474" s="1482">
        <v>5000</v>
      </c>
      <c r="O474" s="1482"/>
      <c r="P474" s="1483">
        <v>3000</v>
      </c>
      <c r="Q474" s="1483"/>
      <c r="R474" s="1483"/>
      <c r="S474" s="1483"/>
      <c r="T474" s="1483"/>
      <c r="U474" s="1483"/>
      <c r="V474" s="1483"/>
      <c r="W474" s="1483"/>
      <c r="X474" s="1483"/>
      <c r="Y474" s="1483"/>
      <c r="Z474" s="1483"/>
      <c r="AA474" s="1483"/>
      <c r="AB474" s="1483"/>
      <c r="AC474" s="1483"/>
      <c r="AD474" s="639">
        <f t="shared" si="269"/>
        <v>0</v>
      </c>
      <c r="AE474" s="639">
        <f t="shared" si="268"/>
        <v>0</v>
      </c>
      <c r="AF474" s="1484"/>
      <c r="AG474" s="1485"/>
      <c r="AH474" s="1487" t="s">
        <v>1508</v>
      </c>
      <c r="AK474" s="747" t="s">
        <v>1998</v>
      </c>
      <c r="AL474" s="747" t="s">
        <v>2061</v>
      </c>
      <c r="AM474" s="746"/>
      <c r="AN474" s="745" t="s">
        <v>2087</v>
      </c>
      <c r="AO474" s="1486" t="s">
        <v>906</v>
      </c>
      <c r="AP474" s="1692" t="s">
        <v>1185</v>
      </c>
      <c r="AQ474" s="951" t="s">
        <v>1509</v>
      </c>
      <c r="AS474" s="832"/>
      <c r="AT474" s="832"/>
      <c r="AU474" s="834"/>
    </row>
    <row r="475" spans="1:47" ht="51">
      <c r="A475" s="1008">
        <v>8</v>
      </c>
      <c r="B475" s="1479" t="s">
        <v>1510</v>
      </c>
      <c r="C475" s="1479"/>
      <c r="D475" s="1479"/>
      <c r="E475" s="1479"/>
      <c r="F475" s="1479"/>
      <c r="G475" s="1446" t="s">
        <v>44</v>
      </c>
      <c r="H475" s="1480">
        <v>2019</v>
      </c>
      <c r="I475" s="1480"/>
      <c r="J475" s="1480">
        <v>2021</v>
      </c>
      <c r="K475" s="1480"/>
      <c r="L475" s="1480"/>
      <c r="M475" s="1467" t="s">
        <v>1899</v>
      </c>
      <c r="N475" s="1482">
        <v>6000</v>
      </c>
      <c r="O475" s="1482"/>
      <c r="P475" s="1483">
        <v>3600</v>
      </c>
      <c r="Q475" s="1483"/>
      <c r="R475" s="1483"/>
      <c r="S475" s="1483"/>
      <c r="T475" s="1483"/>
      <c r="U475" s="1483"/>
      <c r="V475" s="1483"/>
      <c r="W475" s="1483"/>
      <c r="X475" s="1483"/>
      <c r="Y475" s="1483"/>
      <c r="Z475" s="1483"/>
      <c r="AA475" s="1483"/>
      <c r="AB475" s="1483"/>
      <c r="AC475" s="1483"/>
      <c r="AD475" s="639">
        <f t="shared" si="269"/>
        <v>0</v>
      </c>
      <c r="AE475" s="639">
        <f t="shared" si="268"/>
        <v>0</v>
      </c>
      <c r="AF475" s="1484"/>
      <c r="AG475" s="1485"/>
      <c r="AH475" s="1487" t="s">
        <v>1511</v>
      </c>
      <c r="AK475" s="747" t="s">
        <v>1999</v>
      </c>
      <c r="AL475" s="747" t="s">
        <v>2061</v>
      </c>
      <c r="AM475" s="746" t="s">
        <v>2081</v>
      </c>
      <c r="AN475" s="745" t="s">
        <v>2087</v>
      </c>
      <c r="AO475" s="1486" t="s">
        <v>878</v>
      </c>
      <c r="AP475" s="1692" t="s">
        <v>1193</v>
      </c>
      <c r="AQ475" s="951" t="s">
        <v>1512</v>
      </c>
      <c r="AS475" s="832"/>
      <c r="AT475" s="832"/>
      <c r="AU475" s="834"/>
    </row>
    <row r="476" spans="1:47" ht="51">
      <c r="A476" s="1008">
        <v>9</v>
      </c>
      <c r="B476" s="1479" t="s">
        <v>1513</v>
      </c>
      <c r="C476" s="1479"/>
      <c r="D476" s="1479"/>
      <c r="E476" s="1479"/>
      <c r="F476" s="1479"/>
      <c r="G476" s="1446" t="s">
        <v>33</v>
      </c>
      <c r="H476" s="1480">
        <v>2019</v>
      </c>
      <c r="I476" s="1480"/>
      <c r="J476" s="1480">
        <v>2021</v>
      </c>
      <c r="K476" s="1480"/>
      <c r="L476" s="1480"/>
      <c r="M476" s="1467" t="s">
        <v>1900</v>
      </c>
      <c r="N476" s="1482">
        <v>7000</v>
      </c>
      <c r="O476" s="1482"/>
      <c r="P476" s="1483">
        <v>4200</v>
      </c>
      <c r="Q476" s="1483"/>
      <c r="R476" s="1483"/>
      <c r="S476" s="1483"/>
      <c r="T476" s="1483"/>
      <c r="U476" s="1483"/>
      <c r="V476" s="1483"/>
      <c r="W476" s="1483"/>
      <c r="X476" s="1483"/>
      <c r="Y476" s="1483"/>
      <c r="Z476" s="1483"/>
      <c r="AA476" s="1483"/>
      <c r="AB476" s="1483"/>
      <c r="AC476" s="1483"/>
      <c r="AD476" s="639">
        <f t="shared" si="269"/>
        <v>0</v>
      </c>
      <c r="AE476" s="639">
        <f t="shared" si="268"/>
        <v>0</v>
      </c>
      <c r="AF476" s="1484"/>
      <c r="AG476" s="1485"/>
      <c r="AH476" s="1487" t="s">
        <v>1514</v>
      </c>
      <c r="AK476" s="747" t="s">
        <v>1974</v>
      </c>
      <c r="AL476" s="747" t="s">
        <v>2061</v>
      </c>
      <c r="AM476" s="746"/>
      <c r="AN476" s="745" t="s">
        <v>2087</v>
      </c>
      <c r="AO476" s="1486" t="s">
        <v>1515</v>
      </c>
      <c r="AP476" s="1692" t="s">
        <v>1185</v>
      </c>
      <c r="AQ476" s="951" t="s">
        <v>1516</v>
      </c>
      <c r="AS476" s="832"/>
      <c r="AT476" s="832"/>
      <c r="AU476" s="834"/>
    </row>
    <row r="477" spans="1:47" ht="51">
      <c r="A477" s="1008">
        <v>10</v>
      </c>
      <c r="B477" s="1479" t="s">
        <v>1517</v>
      </c>
      <c r="C477" s="1479"/>
      <c r="D477" s="1479"/>
      <c r="E477" s="1479"/>
      <c r="F477" s="1479"/>
      <c r="G477" s="1446" t="s">
        <v>511</v>
      </c>
      <c r="H477" s="1480">
        <v>2019</v>
      </c>
      <c r="I477" s="1480"/>
      <c r="J477" s="1480">
        <v>2021</v>
      </c>
      <c r="K477" s="1480"/>
      <c r="L477" s="1480"/>
      <c r="M477" s="1467" t="s">
        <v>1901</v>
      </c>
      <c r="N477" s="1482">
        <v>9000</v>
      </c>
      <c r="O477" s="1482"/>
      <c r="P477" s="1483">
        <v>5400</v>
      </c>
      <c r="Q477" s="1483"/>
      <c r="R477" s="1483"/>
      <c r="S477" s="1483"/>
      <c r="T477" s="1483"/>
      <c r="U477" s="1483"/>
      <c r="V477" s="1483"/>
      <c r="W477" s="1483"/>
      <c r="X477" s="1483"/>
      <c r="Y477" s="1483"/>
      <c r="Z477" s="1483"/>
      <c r="AA477" s="1483"/>
      <c r="AB477" s="1483"/>
      <c r="AC477" s="1483"/>
      <c r="AD477" s="639">
        <f t="shared" si="269"/>
        <v>0</v>
      </c>
      <c r="AE477" s="639">
        <f t="shared" si="268"/>
        <v>0</v>
      </c>
      <c r="AF477" s="1484"/>
      <c r="AG477" s="1485"/>
      <c r="AH477" s="1487" t="s">
        <v>1518</v>
      </c>
      <c r="AK477" s="747" t="s">
        <v>1757</v>
      </c>
      <c r="AL477" s="747" t="s">
        <v>2061</v>
      </c>
      <c r="AM477" s="746"/>
      <c r="AN477" s="745" t="s">
        <v>2087</v>
      </c>
      <c r="AO477" s="1486" t="s">
        <v>1519</v>
      </c>
      <c r="AP477" s="1692" t="s">
        <v>1185</v>
      </c>
      <c r="AQ477" s="951" t="s">
        <v>1520</v>
      </c>
      <c r="AS477" s="832"/>
      <c r="AT477" s="832"/>
      <c r="AU477" s="834"/>
    </row>
    <row r="478" spans="1:47" ht="25.5">
      <c r="A478" s="1401">
        <v>11</v>
      </c>
      <c r="B478" s="1488" t="s">
        <v>1521</v>
      </c>
      <c r="C478" s="1488"/>
      <c r="D478" s="1488"/>
      <c r="E478" s="1488"/>
      <c r="F478" s="1488"/>
      <c r="G478" s="1489" t="s">
        <v>9</v>
      </c>
      <c r="H478" s="1490">
        <v>2019</v>
      </c>
      <c r="I478" s="1490"/>
      <c r="J478" s="1490">
        <v>2021</v>
      </c>
      <c r="K478" s="1490"/>
      <c r="L478" s="1490"/>
      <c r="M478" s="1491"/>
      <c r="N478" s="1492">
        <v>7200</v>
      </c>
      <c r="O478" s="1492"/>
      <c r="P478" s="1493">
        <f t="shared" ref="P478" si="271">N478*0.6</f>
        <v>4320</v>
      </c>
      <c r="Q478" s="1493"/>
      <c r="R478" s="1493"/>
      <c r="S478" s="1493"/>
      <c r="T478" s="1493"/>
      <c r="U478" s="1493"/>
      <c r="V478" s="1493"/>
      <c r="W478" s="1493"/>
      <c r="X478" s="1493"/>
      <c r="Y478" s="1493"/>
      <c r="Z478" s="1493"/>
      <c r="AA478" s="1493"/>
      <c r="AB478" s="1493"/>
      <c r="AC478" s="1493"/>
      <c r="AD478" s="639">
        <f t="shared" si="269"/>
        <v>0</v>
      </c>
      <c r="AE478" s="639">
        <f t="shared" si="268"/>
        <v>0</v>
      </c>
      <c r="AF478" s="1484"/>
      <c r="AG478" s="1485"/>
      <c r="AH478" s="1494" t="s">
        <v>1522</v>
      </c>
      <c r="AK478" s="747" t="s">
        <v>1983</v>
      </c>
      <c r="AL478" s="747" t="s">
        <v>2061</v>
      </c>
      <c r="AM478" s="746"/>
      <c r="AO478" s="1495" t="s">
        <v>1435</v>
      </c>
      <c r="AP478" s="1692" t="s">
        <v>1346</v>
      </c>
      <c r="AQ478" s="951"/>
      <c r="AS478" s="832"/>
      <c r="AT478" s="832"/>
      <c r="AU478" s="834"/>
    </row>
    <row r="479" spans="1:47" ht="38.25">
      <c r="A479" s="1008">
        <v>12</v>
      </c>
      <c r="B479" s="1402" t="s">
        <v>1523</v>
      </c>
      <c r="C479" s="1402"/>
      <c r="D479" s="1402"/>
      <c r="E479" s="1402"/>
      <c r="F479" s="1402"/>
      <c r="G479" s="1358" t="s">
        <v>10</v>
      </c>
      <c r="H479" s="1403">
        <v>2019</v>
      </c>
      <c r="I479" s="1403"/>
      <c r="J479" s="1403">
        <v>2021</v>
      </c>
      <c r="K479" s="1403"/>
      <c r="L479" s="1403"/>
      <c r="M479" s="1496" t="s">
        <v>1940</v>
      </c>
      <c r="N479" s="1405">
        <v>20000</v>
      </c>
      <c r="O479" s="1405"/>
      <c r="P479" s="1421">
        <v>12000</v>
      </c>
      <c r="Q479" s="1421"/>
      <c r="R479" s="1421"/>
      <c r="S479" s="1421"/>
      <c r="T479" s="1421"/>
      <c r="U479" s="1421"/>
      <c r="V479" s="1421"/>
      <c r="W479" s="1421"/>
      <c r="X479" s="1421"/>
      <c r="Y479" s="1421"/>
      <c r="Z479" s="1421"/>
      <c r="AA479" s="1421"/>
      <c r="AB479" s="1421"/>
      <c r="AC479" s="1421"/>
      <c r="AD479" s="639">
        <f t="shared" si="269"/>
        <v>0</v>
      </c>
      <c r="AE479" s="639">
        <f t="shared" si="268"/>
        <v>0</v>
      </c>
      <c r="AF479" s="1416"/>
      <c r="AG479" s="1103"/>
      <c r="AH479" s="1494" t="s">
        <v>1524</v>
      </c>
      <c r="AK479" s="747" t="s">
        <v>1972</v>
      </c>
      <c r="AL479" s="747" t="s">
        <v>2061</v>
      </c>
      <c r="AM479" s="746"/>
      <c r="AN479" s="745" t="s">
        <v>2087</v>
      </c>
      <c r="AO479" s="1412" t="s">
        <v>880</v>
      </c>
      <c r="AP479" s="1692" t="s">
        <v>1388</v>
      </c>
      <c r="AQ479" s="1107"/>
      <c r="AS479" s="832"/>
      <c r="AT479" s="832"/>
      <c r="AU479" s="834"/>
    </row>
    <row r="480" spans="1:47" ht="51">
      <c r="A480" s="1401">
        <v>13</v>
      </c>
      <c r="B480" s="1402" t="s">
        <v>1525</v>
      </c>
      <c r="C480" s="1402"/>
      <c r="D480" s="1402"/>
      <c r="E480" s="1402"/>
      <c r="F480" s="1402"/>
      <c r="G480" s="1358" t="s">
        <v>17</v>
      </c>
      <c r="H480" s="1403">
        <v>2019</v>
      </c>
      <c r="I480" s="1403"/>
      <c r="J480" s="1403">
        <v>2021</v>
      </c>
      <c r="K480" s="1403"/>
      <c r="L480" s="1403"/>
      <c r="M480" s="1467" t="s">
        <v>1902</v>
      </c>
      <c r="N480" s="1405">
        <v>5000</v>
      </c>
      <c r="O480" s="1405"/>
      <c r="P480" s="1421">
        <v>3000</v>
      </c>
      <c r="Q480" s="1421"/>
      <c r="R480" s="1421"/>
      <c r="S480" s="1421"/>
      <c r="T480" s="1421"/>
      <c r="U480" s="1421"/>
      <c r="V480" s="1421"/>
      <c r="W480" s="1421"/>
      <c r="X480" s="1421"/>
      <c r="Y480" s="1421"/>
      <c r="Z480" s="1421"/>
      <c r="AA480" s="1421"/>
      <c r="AB480" s="1421"/>
      <c r="AC480" s="1421"/>
      <c r="AD480" s="639">
        <f t="shared" si="269"/>
        <v>0</v>
      </c>
      <c r="AE480" s="639">
        <f t="shared" si="268"/>
        <v>0</v>
      </c>
      <c r="AF480" s="1416"/>
      <c r="AG480" s="1103"/>
      <c r="AH480" s="1494" t="s">
        <v>1526</v>
      </c>
      <c r="AK480" s="747" t="s">
        <v>1991</v>
      </c>
      <c r="AL480" s="747" t="s">
        <v>2061</v>
      </c>
      <c r="AM480" s="746"/>
      <c r="AN480" s="745" t="s">
        <v>2087</v>
      </c>
      <c r="AO480" s="1361" t="s">
        <v>588</v>
      </c>
      <c r="AP480" s="1497" t="s">
        <v>1185</v>
      </c>
      <c r="AQ480" s="1362" t="s">
        <v>1527</v>
      </c>
      <c r="AS480" s="832"/>
      <c r="AT480" s="832"/>
      <c r="AU480" s="834"/>
    </row>
    <row r="481" spans="1:47" ht="51">
      <c r="A481" s="1008">
        <v>14</v>
      </c>
      <c r="B481" s="1402" t="s">
        <v>1528</v>
      </c>
      <c r="C481" s="1402"/>
      <c r="D481" s="1402"/>
      <c r="E481" s="1402"/>
      <c r="F481" s="1402"/>
      <c r="G481" s="1358" t="s">
        <v>17</v>
      </c>
      <c r="H481" s="1403">
        <v>2019</v>
      </c>
      <c r="I481" s="1403"/>
      <c r="J481" s="1403">
        <v>2021</v>
      </c>
      <c r="K481" s="1403"/>
      <c r="L481" s="1403"/>
      <c r="M481" s="1467" t="s">
        <v>1903</v>
      </c>
      <c r="N481" s="1405">
        <v>8000</v>
      </c>
      <c r="O481" s="1405"/>
      <c r="P481" s="1421">
        <v>4800</v>
      </c>
      <c r="Q481" s="1421"/>
      <c r="R481" s="1421"/>
      <c r="S481" s="1421"/>
      <c r="T481" s="1421"/>
      <c r="U481" s="1421"/>
      <c r="V481" s="1421"/>
      <c r="W481" s="1421"/>
      <c r="X481" s="1421"/>
      <c r="Y481" s="1421"/>
      <c r="Z481" s="1421"/>
      <c r="AA481" s="1421"/>
      <c r="AB481" s="1421"/>
      <c r="AC481" s="1421"/>
      <c r="AD481" s="639">
        <f t="shared" si="269"/>
        <v>0</v>
      </c>
      <c r="AE481" s="639">
        <f t="shared" si="268"/>
        <v>0</v>
      </c>
      <c r="AF481" s="1416"/>
      <c r="AG481" s="1103"/>
      <c r="AH481" s="1494" t="s">
        <v>1529</v>
      </c>
      <c r="AK481" s="747" t="s">
        <v>1953</v>
      </c>
      <c r="AL481" s="747" t="s">
        <v>2061</v>
      </c>
      <c r="AM481" s="746"/>
      <c r="AN481" s="745" t="s">
        <v>2087</v>
      </c>
      <c r="AO481" s="1361" t="s">
        <v>588</v>
      </c>
      <c r="AP481" s="1692" t="s">
        <v>1193</v>
      </c>
      <c r="AQ481" s="1362" t="s">
        <v>1530</v>
      </c>
      <c r="AS481" s="832"/>
      <c r="AT481" s="832"/>
      <c r="AU481" s="834"/>
    </row>
    <row r="482" spans="1:47" ht="51">
      <c r="A482" s="1401">
        <v>15</v>
      </c>
      <c r="B482" s="1402" t="s">
        <v>1531</v>
      </c>
      <c r="C482" s="1402"/>
      <c r="D482" s="1402"/>
      <c r="E482" s="1402"/>
      <c r="F482" s="1402"/>
      <c r="G482" s="1358" t="s">
        <v>17</v>
      </c>
      <c r="H482" s="1403">
        <v>2019</v>
      </c>
      <c r="I482" s="1403"/>
      <c r="J482" s="1403">
        <v>2021</v>
      </c>
      <c r="K482" s="1403"/>
      <c r="L482" s="1403"/>
      <c r="M482" s="1467" t="s">
        <v>1904</v>
      </c>
      <c r="N482" s="1405">
        <v>8000</v>
      </c>
      <c r="O482" s="1405"/>
      <c r="P482" s="1421">
        <v>4800</v>
      </c>
      <c r="Q482" s="1421"/>
      <c r="R482" s="1421"/>
      <c r="S482" s="1421"/>
      <c r="T482" s="1421"/>
      <c r="U482" s="1421"/>
      <c r="V482" s="1421"/>
      <c r="W482" s="1421"/>
      <c r="X482" s="1421"/>
      <c r="Y482" s="1421"/>
      <c r="Z482" s="1421"/>
      <c r="AA482" s="1421"/>
      <c r="AB482" s="1421"/>
      <c r="AC482" s="1421"/>
      <c r="AD482" s="639">
        <f t="shared" si="269"/>
        <v>0</v>
      </c>
      <c r="AE482" s="639">
        <f t="shared" si="268"/>
        <v>0</v>
      </c>
      <c r="AF482" s="1416"/>
      <c r="AG482" s="1103"/>
      <c r="AH482" s="1494" t="s">
        <v>1529</v>
      </c>
      <c r="AK482" s="747" t="s">
        <v>2000</v>
      </c>
      <c r="AL482" s="747" t="s">
        <v>164</v>
      </c>
      <c r="AM482" s="746" t="s">
        <v>2081</v>
      </c>
      <c r="AN482" s="745" t="s">
        <v>2087</v>
      </c>
      <c r="AO482" s="1361" t="s">
        <v>588</v>
      </c>
      <c r="AP482" s="1692" t="s">
        <v>1193</v>
      </c>
      <c r="AQ482" s="1362" t="s">
        <v>1532</v>
      </c>
      <c r="AS482" s="832"/>
      <c r="AT482" s="832"/>
      <c r="AU482" s="834"/>
    </row>
    <row r="483" spans="1:47" ht="51">
      <c r="A483" s="1008">
        <v>16</v>
      </c>
      <c r="B483" s="1402" t="s">
        <v>1533</v>
      </c>
      <c r="C483" s="1402"/>
      <c r="D483" s="1402"/>
      <c r="E483" s="1402"/>
      <c r="F483" s="1402"/>
      <c r="G483" s="1358" t="s">
        <v>17</v>
      </c>
      <c r="H483" s="1403">
        <v>2019</v>
      </c>
      <c r="I483" s="1403"/>
      <c r="J483" s="1403">
        <v>2021</v>
      </c>
      <c r="K483" s="1403"/>
      <c r="L483" s="1403"/>
      <c r="M483" s="1359" t="s">
        <v>1905</v>
      </c>
      <c r="N483" s="1405">
        <v>3000</v>
      </c>
      <c r="O483" s="1405"/>
      <c r="P483" s="1421">
        <v>1800</v>
      </c>
      <c r="Q483" s="1421"/>
      <c r="R483" s="1421"/>
      <c r="S483" s="1421"/>
      <c r="T483" s="1421"/>
      <c r="U483" s="1421"/>
      <c r="V483" s="1421"/>
      <c r="W483" s="1421"/>
      <c r="X483" s="1421"/>
      <c r="Y483" s="1421"/>
      <c r="Z483" s="1421"/>
      <c r="AA483" s="1421"/>
      <c r="AB483" s="1421"/>
      <c r="AC483" s="1421"/>
      <c r="AD483" s="639">
        <f t="shared" si="269"/>
        <v>0</v>
      </c>
      <c r="AE483" s="639">
        <f t="shared" si="268"/>
        <v>0</v>
      </c>
      <c r="AF483" s="1416"/>
      <c r="AG483" s="1103"/>
      <c r="AH483" s="1494" t="s">
        <v>1534</v>
      </c>
      <c r="AK483" s="747" t="s">
        <v>1966</v>
      </c>
      <c r="AL483" s="747" t="s">
        <v>2061</v>
      </c>
      <c r="AM483" s="746" t="s">
        <v>2081</v>
      </c>
      <c r="AN483" s="745" t="s">
        <v>2087</v>
      </c>
      <c r="AO483" s="1361" t="s">
        <v>998</v>
      </c>
      <c r="AP483" s="1692" t="s">
        <v>1193</v>
      </c>
      <c r="AQ483" s="1362" t="s">
        <v>1535</v>
      </c>
      <c r="AS483" s="832"/>
      <c r="AT483" s="832"/>
      <c r="AU483" s="834"/>
    </row>
    <row r="484" spans="1:47" ht="51">
      <c r="A484" s="1401">
        <v>17</v>
      </c>
      <c r="B484" s="1402" t="s">
        <v>1536</v>
      </c>
      <c r="C484" s="1402"/>
      <c r="D484" s="1402"/>
      <c r="E484" s="1402"/>
      <c r="F484" s="1402"/>
      <c r="G484" s="1358" t="s">
        <v>17</v>
      </c>
      <c r="H484" s="1403">
        <v>2019</v>
      </c>
      <c r="I484" s="1403"/>
      <c r="J484" s="1403">
        <v>2021</v>
      </c>
      <c r="K484" s="1403"/>
      <c r="L484" s="1403"/>
      <c r="M484" s="1359" t="s">
        <v>1906</v>
      </c>
      <c r="N484" s="1405">
        <v>12000</v>
      </c>
      <c r="O484" s="1405"/>
      <c r="P484" s="1421">
        <v>7200</v>
      </c>
      <c r="Q484" s="1421"/>
      <c r="R484" s="1421"/>
      <c r="S484" s="1421"/>
      <c r="T484" s="1421"/>
      <c r="U484" s="1421"/>
      <c r="V484" s="1421"/>
      <c r="W484" s="1421"/>
      <c r="X484" s="1421"/>
      <c r="Y484" s="1421"/>
      <c r="Z484" s="1421"/>
      <c r="AA484" s="1421"/>
      <c r="AB484" s="1421"/>
      <c r="AC484" s="1421"/>
      <c r="AD484" s="639">
        <f t="shared" si="269"/>
        <v>0</v>
      </c>
      <c r="AE484" s="639">
        <f t="shared" si="268"/>
        <v>0</v>
      </c>
      <c r="AF484" s="1416"/>
      <c r="AG484" s="1103"/>
      <c r="AH484" s="1494" t="s">
        <v>1537</v>
      </c>
      <c r="AK484" s="747" t="s">
        <v>2001</v>
      </c>
      <c r="AL484" s="747" t="s">
        <v>2061</v>
      </c>
      <c r="AM484" s="746" t="s">
        <v>2081</v>
      </c>
      <c r="AN484" s="745" t="s">
        <v>2087</v>
      </c>
      <c r="AO484" s="1361" t="s">
        <v>911</v>
      </c>
      <c r="AP484" s="1497" t="s">
        <v>1185</v>
      </c>
      <c r="AQ484" s="1362" t="s">
        <v>1538</v>
      </c>
      <c r="AS484" s="832"/>
      <c r="AT484" s="832"/>
      <c r="AU484" s="834"/>
    </row>
    <row r="485" spans="1:47" ht="51">
      <c r="A485" s="1008">
        <v>18</v>
      </c>
      <c r="B485" s="1402" t="s">
        <v>1539</v>
      </c>
      <c r="C485" s="1402"/>
      <c r="D485" s="1402"/>
      <c r="E485" s="1402"/>
      <c r="F485" s="1402"/>
      <c r="G485" s="1358" t="s">
        <v>17</v>
      </c>
      <c r="H485" s="1403">
        <v>2019</v>
      </c>
      <c r="I485" s="1403"/>
      <c r="J485" s="1403">
        <v>2021</v>
      </c>
      <c r="K485" s="1403"/>
      <c r="L485" s="1403"/>
      <c r="M485" s="1359" t="s">
        <v>1907</v>
      </c>
      <c r="N485" s="1405">
        <v>7500</v>
      </c>
      <c r="O485" s="1405"/>
      <c r="P485" s="1421">
        <v>4500</v>
      </c>
      <c r="Q485" s="1421"/>
      <c r="R485" s="1421"/>
      <c r="S485" s="1421"/>
      <c r="T485" s="1421"/>
      <c r="U485" s="1421"/>
      <c r="V485" s="1421"/>
      <c r="W485" s="1421"/>
      <c r="X485" s="1421"/>
      <c r="Y485" s="1421"/>
      <c r="Z485" s="1421"/>
      <c r="AA485" s="1421"/>
      <c r="AB485" s="1421"/>
      <c r="AC485" s="1421"/>
      <c r="AD485" s="639">
        <f t="shared" si="269"/>
        <v>0</v>
      </c>
      <c r="AE485" s="639">
        <f t="shared" si="268"/>
        <v>0</v>
      </c>
      <c r="AF485" s="1416"/>
      <c r="AG485" s="1103"/>
      <c r="AH485" s="1494" t="s">
        <v>1524</v>
      </c>
      <c r="AK485" s="747" t="s">
        <v>2002</v>
      </c>
      <c r="AL485" s="747" t="s">
        <v>2061</v>
      </c>
      <c r="AM485" s="746" t="s">
        <v>2080</v>
      </c>
      <c r="AN485" s="745" t="s">
        <v>2087</v>
      </c>
      <c r="AO485" s="1361" t="s">
        <v>588</v>
      </c>
      <c r="AP485" s="1498" t="s">
        <v>1540</v>
      </c>
      <c r="AQ485" s="1107"/>
      <c r="AS485" s="832"/>
      <c r="AT485" s="832"/>
      <c r="AU485" s="834"/>
    </row>
    <row r="486" spans="1:47" ht="51">
      <c r="A486" s="1401">
        <v>19</v>
      </c>
      <c r="B486" s="1402" t="s">
        <v>1541</v>
      </c>
      <c r="C486" s="1402"/>
      <c r="D486" s="1402"/>
      <c r="E486" s="1402"/>
      <c r="F486" s="1402"/>
      <c r="G486" s="1358" t="s">
        <v>49</v>
      </c>
      <c r="H486" s="1403">
        <v>2019</v>
      </c>
      <c r="I486" s="1403"/>
      <c r="J486" s="1403">
        <v>2021</v>
      </c>
      <c r="K486" s="1403"/>
      <c r="L486" s="1403"/>
      <c r="M486" s="1359" t="s">
        <v>1908</v>
      </c>
      <c r="N486" s="1405">
        <v>11200</v>
      </c>
      <c r="O486" s="1405"/>
      <c r="P486" s="1421">
        <v>6720</v>
      </c>
      <c r="Q486" s="1421"/>
      <c r="R486" s="1421"/>
      <c r="S486" s="1421"/>
      <c r="T486" s="1421"/>
      <c r="U486" s="1421"/>
      <c r="V486" s="1421"/>
      <c r="W486" s="1421"/>
      <c r="X486" s="1421"/>
      <c r="Y486" s="1421"/>
      <c r="Z486" s="1421"/>
      <c r="AA486" s="1421"/>
      <c r="AB486" s="1421"/>
      <c r="AC486" s="1421"/>
      <c r="AD486" s="639">
        <f t="shared" si="269"/>
        <v>0</v>
      </c>
      <c r="AE486" s="639">
        <f t="shared" si="268"/>
        <v>0</v>
      </c>
      <c r="AF486" s="1416"/>
      <c r="AG486" s="1103"/>
      <c r="AH486" s="1494" t="s">
        <v>1542</v>
      </c>
      <c r="AK486" s="747" t="s">
        <v>1967</v>
      </c>
      <c r="AL486" s="747" t="s">
        <v>2061</v>
      </c>
      <c r="AM486" s="746"/>
      <c r="AN486" s="745" t="s">
        <v>2087</v>
      </c>
      <c r="AO486" s="1361" t="s">
        <v>901</v>
      </c>
      <c r="AP486" s="1438" t="s">
        <v>1543</v>
      </c>
      <c r="AQ486" s="1362" t="s">
        <v>1544</v>
      </c>
      <c r="AS486" s="832"/>
      <c r="AT486" s="832"/>
      <c r="AU486" s="834"/>
    </row>
    <row r="487" spans="1:47" ht="51">
      <c r="A487" s="1008">
        <v>20</v>
      </c>
      <c r="B487" s="1402" t="s">
        <v>1545</v>
      </c>
      <c r="C487" s="1402"/>
      <c r="D487" s="1402"/>
      <c r="E487" s="1402"/>
      <c r="F487" s="1402"/>
      <c r="G487" s="1358" t="s">
        <v>49</v>
      </c>
      <c r="H487" s="1403">
        <v>2019</v>
      </c>
      <c r="I487" s="1403"/>
      <c r="J487" s="1403">
        <v>2021</v>
      </c>
      <c r="K487" s="1403"/>
      <c r="L487" s="1403"/>
      <c r="M487" s="1359" t="s">
        <v>1909</v>
      </c>
      <c r="N487" s="1405">
        <v>3000</v>
      </c>
      <c r="O487" s="1405"/>
      <c r="P487" s="1421">
        <v>1800</v>
      </c>
      <c r="Q487" s="1421"/>
      <c r="R487" s="1421"/>
      <c r="S487" s="1421"/>
      <c r="T487" s="1421"/>
      <c r="U487" s="1421"/>
      <c r="V487" s="1421"/>
      <c r="W487" s="1421"/>
      <c r="X487" s="1421"/>
      <c r="Y487" s="1421"/>
      <c r="Z487" s="1421"/>
      <c r="AA487" s="1421"/>
      <c r="AB487" s="1421"/>
      <c r="AC487" s="1421"/>
      <c r="AD487" s="639">
        <f t="shared" si="269"/>
        <v>0</v>
      </c>
      <c r="AE487" s="639">
        <f t="shared" si="268"/>
        <v>0</v>
      </c>
      <c r="AF487" s="1416"/>
      <c r="AG487" s="1103"/>
      <c r="AH487" s="1494" t="s">
        <v>1534</v>
      </c>
      <c r="AK487" s="747" t="s">
        <v>1946</v>
      </c>
      <c r="AL487" s="747" t="s">
        <v>2061</v>
      </c>
      <c r="AM487" s="746" t="s">
        <v>2080</v>
      </c>
      <c r="AN487" s="745" t="s">
        <v>2087</v>
      </c>
      <c r="AO487" s="1012" t="s">
        <v>866</v>
      </c>
      <c r="AP487" s="951" t="s">
        <v>1546</v>
      </c>
      <c r="AQ487" s="1362" t="s">
        <v>1547</v>
      </c>
      <c r="AS487" s="832"/>
      <c r="AT487" s="832"/>
      <c r="AU487" s="834"/>
    </row>
    <row r="488" spans="1:47" ht="51">
      <c r="A488" s="1401">
        <v>21</v>
      </c>
      <c r="B488" s="1402" t="s">
        <v>1548</v>
      </c>
      <c r="C488" s="1402"/>
      <c r="D488" s="1402"/>
      <c r="E488" s="1402"/>
      <c r="F488" s="1402"/>
      <c r="G488" s="1358" t="s">
        <v>49</v>
      </c>
      <c r="H488" s="1403">
        <v>2019</v>
      </c>
      <c r="I488" s="1403"/>
      <c r="J488" s="1403">
        <v>2021</v>
      </c>
      <c r="K488" s="1403"/>
      <c r="L488" s="1403"/>
      <c r="M488" s="1359" t="s">
        <v>1910</v>
      </c>
      <c r="N488" s="1405">
        <v>10000</v>
      </c>
      <c r="O488" s="1405"/>
      <c r="P488" s="1421">
        <v>6000</v>
      </c>
      <c r="Q488" s="1421"/>
      <c r="R488" s="1421"/>
      <c r="S488" s="1421"/>
      <c r="T488" s="1421"/>
      <c r="U488" s="1421"/>
      <c r="V488" s="1421"/>
      <c r="W488" s="1421"/>
      <c r="X488" s="1421"/>
      <c r="Y488" s="1421"/>
      <c r="Z488" s="1421"/>
      <c r="AA488" s="1421"/>
      <c r="AB488" s="1421"/>
      <c r="AC488" s="1421"/>
      <c r="AD488" s="639">
        <f t="shared" si="269"/>
        <v>0</v>
      </c>
      <c r="AE488" s="639">
        <f t="shared" si="268"/>
        <v>0</v>
      </c>
      <c r="AF488" s="1416"/>
      <c r="AG488" s="1103"/>
      <c r="AH488" s="1494" t="s">
        <v>1549</v>
      </c>
      <c r="AK488" s="747" t="s">
        <v>2003</v>
      </c>
      <c r="AL488" s="747" t="s">
        <v>2061</v>
      </c>
      <c r="AM488" s="746"/>
      <c r="AO488" s="1012" t="s">
        <v>1550</v>
      </c>
      <c r="AP488" s="1438" t="s">
        <v>1543</v>
      </c>
      <c r="AQ488" s="1362" t="s">
        <v>1551</v>
      </c>
      <c r="AS488" s="832"/>
      <c r="AT488" s="832"/>
      <c r="AU488" s="834"/>
    </row>
    <row r="489" spans="1:47" ht="51">
      <c r="A489" s="1008">
        <v>22</v>
      </c>
      <c r="B489" s="1402" t="s">
        <v>1552</v>
      </c>
      <c r="C489" s="1402"/>
      <c r="D489" s="1402"/>
      <c r="E489" s="1402"/>
      <c r="F489" s="1402"/>
      <c r="G489" s="1358" t="s">
        <v>49</v>
      </c>
      <c r="H489" s="1403">
        <v>2019</v>
      </c>
      <c r="I489" s="1403"/>
      <c r="J489" s="1403">
        <v>2021</v>
      </c>
      <c r="K489" s="1403"/>
      <c r="L489" s="1403"/>
      <c r="M489" s="1359" t="s">
        <v>1911</v>
      </c>
      <c r="N489" s="1405">
        <v>6000</v>
      </c>
      <c r="O489" s="1405"/>
      <c r="P489" s="1421">
        <v>3600</v>
      </c>
      <c r="Q489" s="1421"/>
      <c r="R489" s="1421"/>
      <c r="S489" s="1421"/>
      <c r="T489" s="1421"/>
      <c r="U489" s="1421"/>
      <c r="V489" s="1421"/>
      <c r="W489" s="1421"/>
      <c r="X489" s="1421"/>
      <c r="Y489" s="1421"/>
      <c r="Z489" s="1421"/>
      <c r="AA489" s="1421"/>
      <c r="AB489" s="1421"/>
      <c r="AC489" s="1421"/>
      <c r="AD489" s="639">
        <f t="shared" si="269"/>
        <v>0</v>
      </c>
      <c r="AE489" s="639">
        <f t="shared" si="268"/>
        <v>0</v>
      </c>
      <c r="AF489" s="1416"/>
      <c r="AG489" s="1103"/>
      <c r="AH489" s="1494" t="s">
        <v>1524</v>
      </c>
      <c r="AK489" s="747" t="s">
        <v>2004</v>
      </c>
      <c r="AL489" s="747" t="s">
        <v>2061</v>
      </c>
      <c r="AM489" s="746" t="s">
        <v>2080</v>
      </c>
      <c r="AN489" s="745" t="s">
        <v>2087</v>
      </c>
      <c r="AO489" s="1012" t="s">
        <v>920</v>
      </c>
      <c r="AP489" s="1497" t="s">
        <v>1553</v>
      </c>
      <c r="AQ489" s="1362" t="s">
        <v>1554</v>
      </c>
      <c r="AS489" s="832"/>
      <c r="AT489" s="832"/>
      <c r="AU489" s="834"/>
    </row>
    <row r="490" spans="1:47" ht="51">
      <c r="A490" s="1401">
        <v>23</v>
      </c>
      <c r="B490" s="1402" t="s">
        <v>1555</v>
      </c>
      <c r="C490" s="1402"/>
      <c r="D490" s="1402"/>
      <c r="E490" s="1402"/>
      <c r="F490" s="1402"/>
      <c r="G490" s="1358" t="s">
        <v>10</v>
      </c>
      <c r="H490" s="1403">
        <v>2019</v>
      </c>
      <c r="I490" s="1403"/>
      <c r="J490" s="1403">
        <v>2021</v>
      </c>
      <c r="K490" s="1403"/>
      <c r="L490" s="1403"/>
      <c r="M490" s="1359" t="s">
        <v>1912</v>
      </c>
      <c r="N490" s="1405">
        <v>4000</v>
      </c>
      <c r="O490" s="1405"/>
      <c r="P490" s="1421">
        <v>2400</v>
      </c>
      <c r="Q490" s="1421"/>
      <c r="R490" s="1421"/>
      <c r="S490" s="1421"/>
      <c r="T490" s="1421"/>
      <c r="U490" s="1421"/>
      <c r="V490" s="1421"/>
      <c r="W490" s="1421"/>
      <c r="X490" s="1421"/>
      <c r="Y490" s="1421"/>
      <c r="Z490" s="1421"/>
      <c r="AA490" s="1421"/>
      <c r="AB490" s="1421"/>
      <c r="AC490" s="1421"/>
      <c r="AD490" s="639">
        <f t="shared" si="269"/>
        <v>0</v>
      </c>
      <c r="AE490" s="639">
        <f t="shared" si="268"/>
        <v>0</v>
      </c>
      <c r="AF490" s="1416"/>
      <c r="AG490" s="1103"/>
      <c r="AH490" s="1494" t="s">
        <v>1524</v>
      </c>
      <c r="AK490" s="747" t="s">
        <v>1980</v>
      </c>
      <c r="AL490" s="747" t="s">
        <v>2061</v>
      </c>
      <c r="AM490" s="746"/>
      <c r="AN490" s="745" t="s">
        <v>2087</v>
      </c>
      <c r="AO490" s="1412" t="s">
        <v>1182</v>
      </c>
      <c r="AP490" s="1497" t="s">
        <v>1553</v>
      </c>
      <c r="AQ490" s="1362" t="s">
        <v>1556</v>
      </c>
      <c r="AS490" s="832"/>
      <c r="AT490" s="832"/>
      <c r="AU490" s="834"/>
    </row>
    <row r="491" spans="1:47" ht="51">
      <c r="A491" s="1008">
        <v>24</v>
      </c>
      <c r="B491" s="1402" t="s">
        <v>1557</v>
      </c>
      <c r="C491" s="1402"/>
      <c r="D491" s="1402"/>
      <c r="E491" s="1402"/>
      <c r="F491" s="1402"/>
      <c r="G491" s="1358" t="s">
        <v>10</v>
      </c>
      <c r="H491" s="1403">
        <v>2019</v>
      </c>
      <c r="I491" s="1403"/>
      <c r="J491" s="1403">
        <v>2021</v>
      </c>
      <c r="K491" s="1403"/>
      <c r="L491" s="1403"/>
      <c r="M491" s="1426" t="s">
        <v>1941</v>
      </c>
      <c r="N491" s="1499">
        <v>7500</v>
      </c>
      <c r="O491" s="1499"/>
      <c r="P491" s="1499">
        <v>4500</v>
      </c>
      <c r="Q491" s="1421"/>
      <c r="R491" s="1421"/>
      <c r="S491" s="1421"/>
      <c r="T491" s="1421"/>
      <c r="U491" s="1421"/>
      <c r="V491" s="1421"/>
      <c r="W491" s="1421"/>
      <c r="X491" s="1421"/>
      <c r="Y491" s="1421"/>
      <c r="Z491" s="1421"/>
      <c r="AA491" s="1421"/>
      <c r="AB491" s="1421"/>
      <c r="AC491" s="1421"/>
      <c r="AD491" s="639">
        <f t="shared" si="269"/>
        <v>0</v>
      </c>
      <c r="AE491" s="639">
        <f t="shared" si="268"/>
        <v>0</v>
      </c>
      <c r="AF491" s="1416"/>
      <c r="AG491" s="1103"/>
      <c r="AH491" s="1494" t="s">
        <v>1524</v>
      </c>
      <c r="AK491" s="747" t="s">
        <v>1989</v>
      </c>
      <c r="AL491" s="747" t="s">
        <v>2061</v>
      </c>
      <c r="AM491" s="746" t="s">
        <v>2080</v>
      </c>
      <c r="AN491" s="745" t="s">
        <v>2087</v>
      </c>
      <c r="AO491" s="1002" t="s">
        <v>880</v>
      </c>
      <c r="AP491" s="1500" t="s">
        <v>1543</v>
      </c>
      <c r="AQ491" s="1362" t="s">
        <v>1558</v>
      </c>
      <c r="AS491" s="832"/>
      <c r="AT491" s="832"/>
      <c r="AU491" s="834"/>
    </row>
    <row r="492" spans="1:47" ht="51">
      <c r="A492" s="1401">
        <v>25</v>
      </c>
      <c r="B492" s="1501" t="s">
        <v>1559</v>
      </c>
      <c r="C492" s="1402"/>
      <c r="D492" s="1402"/>
      <c r="E492" s="1402"/>
      <c r="F492" s="1402"/>
      <c r="G492" s="1358" t="s">
        <v>10</v>
      </c>
      <c r="H492" s="1403">
        <v>2020</v>
      </c>
      <c r="I492" s="1403"/>
      <c r="J492" s="1403">
        <v>2022</v>
      </c>
      <c r="K492" s="1403"/>
      <c r="L492" s="1403"/>
      <c r="M492" s="1414"/>
      <c r="N492" s="1499">
        <v>6000</v>
      </c>
      <c r="O492" s="1499"/>
      <c r="P492" s="1499">
        <v>3600</v>
      </c>
      <c r="Q492" s="1421"/>
      <c r="R492" s="1421"/>
      <c r="S492" s="1421"/>
      <c r="T492" s="1421"/>
      <c r="U492" s="1421"/>
      <c r="V492" s="1421"/>
      <c r="W492" s="1421"/>
      <c r="X492" s="1421"/>
      <c r="Y492" s="1421"/>
      <c r="Z492" s="1421"/>
      <c r="AA492" s="1421"/>
      <c r="AB492" s="1421"/>
      <c r="AC492" s="1421"/>
      <c r="AD492" s="639">
        <f t="shared" si="269"/>
        <v>0</v>
      </c>
      <c r="AE492" s="639">
        <f t="shared" si="268"/>
        <v>0</v>
      </c>
      <c r="AF492" s="1416"/>
      <c r="AG492" s="1103"/>
      <c r="AH492" s="1494"/>
      <c r="AI492" s="1501" t="s">
        <v>1913</v>
      </c>
      <c r="AK492" s="747"/>
      <c r="AL492" s="747" t="s">
        <v>2061</v>
      </c>
      <c r="AM492" s="746"/>
      <c r="AO492" s="1002" t="s">
        <v>1560</v>
      </c>
      <c r="AP492" s="1502" t="s">
        <v>1561</v>
      </c>
      <c r="AQ492" s="1362" t="s">
        <v>1562</v>
      </c>
      <c r="AS492" s="832"/>
      <c r="AT492" s="832"/>
      <c r="AU492" s="834"/>
    </row>
    <row r="493" spans="1:47" ht="51">
      <c r="A493" s="1008">
        <v>26</v>
      </c>
      <c r="B493" s="1402" t="s">
        <v>1563</v>
      </c>
      <c r="C493" s="1402"/>
      <c r="D493" s="1402"/>
      <c r="E493" s="1402"/>
      <c r="F493" s="1402"/>
      <c r="G493" s="1358" t="s">
        <v>46</v>
      </c>
      <c r="H493" s="1403">
        <v>2019</v>
      </c>
      <c r="I493" s="1403"/>
      <c r="J493" s="1403">
        <v>2021</v>
      </c>
      <c r="K493" s="1403"/>
      <c r="L493" s="1403"/>
      <c r="M493" s="1359" t="s">
        <v>1914</v>
      </c>
      <c r="N493" s="1405">
        <v>8000</v>
      </c>
      <c r="O493" s="1405"/>
      <c r="P493" s="1421">
        <v>4800</v>
      </c>
      <c r="Q493" s="1421"/>
      <c r="R493" s="1421"/>
      <c r="S493" s="1421"/>
      <c r="T493" s="1421"/>
      <c r="U493" s="1421"/>
      <c r="V493" s="1421"/>
      <c r="W493" s="1421"/>
      <c r="X493" s="1421"/>
      <c r="Y493" s="1421"/>
      <c r="Z493" s="1421"/>
      <c r="AA493" s="1421"/>
      <c r="AB493" s="1421"/>
      <c r="AC493" s="1421"/>
      <c r="AD493" s="639">
        <f t="shared" si="269"/>
        <v>0</v>
      </c>
      <c r="AE493" s="639">
        <f t="shared" si="268"/>
        <v>0</v>
      </c>
      <c r="AF493" s="1416"/>
      <c r="AG493" s="1103"/>
      <c r="AH493" s="1494" t="s">
        <v>1524</v>
      </c>
      <c r="AK493" s="747" t="s">
        <v>1988</v>
      </c>
      <c r="AL493" s="747" t="s">
        <v>2061</v>
      </c>
      <c r="AM493" s="746"/>
      <c r="AN493" s="745" t="s">
        <v>2087</v>
      </c>
      <c r="AO493" s="1012" t="s">
        <v>857</v>
      </c>
      <c r="AP493" s="1692" t="s">
        <v>1346</v>
      </c>
      <c r="AQ493" s="1362" t="s">
        <v>1564</v>
      </c>
      <c r="AS493" s="832"/>
      <c r="AT493" s="832"/>
      <c r="AU493" s="834"/>
    </row>
    <row r="494" spans="1:47" ht="51">
      <c r="A494" s="1401">
        <v>27</v>
      </c>
      <c r="B494" s="1402" t="s">
        <v>1565</v>
      </c>
      <c r="C494" s="1402"/>
      <c r="D494" s="1402"/>
      <c r="E494" s="1402"/>
      <c r="F494" s="1402"/>
      <c r="G494" s="1358" t="s">
        <v>46</v>
      </c>
      <c r="H494" s="1403">
        <v>2019</v>
      </c>
      <c r="I494" s="1403"/>
      <c r="J494" s="1403">
        <v>2021</v>
      </c>
      <c r="K494" s="1403"/>
      <c r="L494" s="1403"/>
      <c r="M494" s="1426" t="s">
        <v>1945</v>
      </c>
      <c r="N494" s="1405">
        <v>6000</v>
      </c>
      <c r="O494" s="1405"/>
      <c r="P494" s="1421">
        <v>3600</v>
      </c>
      <c r="Q494" s="1421"/>
      <c r="R494" s="1421"/>
      <c r="S494" s="1421"/>
      <c r="T494" s="1421"/>
      <c r="U494" s="1421"/>
      <c r="V494" s="1421"/>
      <c r="W494" s="1421"/>
      <c r="X494" s="1421"/>
      <c r="Y494" s="1421"/>
      <c r="Z494" s="1421"/>
      <c r="AA494" s="1421"/>
      <c r="AB494" s="1421"/>
      <c r="AC494" s="1421"/>
      <c r="AD494" s="639">
        <f t="shared" si="269"/>
        <v>0</v>
      </c>
      <c r="AE494" s="639">
        <f t="shared" si="268"/>
        <v>0</v>
      </c>
      <c r="AF494" s="1416"/>
      <c r="AG494" s="1103"/>
      <c r="AH494" s="1494" t="s">
        <v>1524</v>
      </c>
      <c r="AK494" s="747" t="s">
        <v>2005</v>
      </c>
      <c r="AL494" s="747" t="s">
        <v>41</v>
      </c>
      <c r="AM494" s="746"/>
      <c r="AN494" s="745" t="s">
        <v>2087</v>
      </c>
      <c r="AO494" s="1012" t="s">
        <v>963</v>
      </c>
      <c r="AP494" s="1497" t="s">
        <v>1553</v>
      </c>
      <c r="AQ494" s="1362" t="s">
        <v>1566</v>
      </c>
      <c r="AS494" s="832"/>
      <c r="AT494" s="832"/>
      <c r="AU494" s="834"/>
    </row>
    <row r="495" spans="1:47" ht="76.5">
      <c r="A495" s="1008">
        <v>28</v>
      </c>
      <c r="B495" s="1402" t="s">
        <v>1567</v>
      </c>
      <c r="C495" s="1402"/>
      <c r="D495" s="1402"/>
      <c r="E495" s="1402"/>
      <c r="F495" s="1402"/>
      <c r="G495" s="1358" t="s">
        <v>46</v>
      </c>
      <c r="H495" s="1403">
        <v>2019</v>
      </c>
      <c r="I495" s="1403"/>
      <c r="J495" s="1403">
        <v>2021</v>
      </c>
      <c r="K495" s="1403"/>
      <c r="L495" s="1403"/>
      <c r="M495" s="1426" t="s">
        <v>1944</v>
      </c>
      <c r="N495" s="1405">
        <v>6000</v>
      </c>
      <c r="O495" s="1405"/>
      <c r="P495" s="1421">
        <v>3600</v>
      </c>
      <c r="Q495" s="1421"/>
      <c r="R495" s="1421"/>
      <c r="S495" s="1421"/>
      <c r="T495" s="1421"/>
      <c r="U495" s="1421"/>
      <c r="V495" s="1421"/>
      <c r="W495" s="1421"/>
      <c r="X495" s="1421"/>
      <c r="Y495" s="1421"/>
      <c r="Z495" s="1421"/>
      <c r="AA495" s="1421"/>
      <c r="AB495" s="1421"/>
      <c r="AC495" s="1421"/>
      <c r="AD495" s="639">
        <f t="shared" si="269"/>
        <v>0</v>
      </c>
      <c r="AE495" s="639">
        <f t="shared" si="268"/>
        <v>0</v>
      </c>
      <c r="AF495" s="1416"/>
      <c r="AG495" s="1103"/>
      <c r="AH495" s="1694" t="s">
        <v>1919</v>
      </c>
      <c r="AI495" s="1694" t="s">
        <v>1919</v>
      </c>
      <c r="AK495" s="747" t="s">
        <v>1964</v>
      </c>
      <c r="AL495" s="747" t="s">
        <v>41</v>
      </c>
      <c r="AM495" s="746"/>
      <c r="AN495" s="745" t="s">
        <v>2087</v>
      </c>
      <c r="AO495" s="1012" t="s">
        <v>963</v>
      </c>
      <c r="AP495" s="1503" t="s">
        <v>1568</v>
      </c>
      <c r="AQ495" s="1362" t="s">
        <v>1569</v>
      </c>
      <c r="AS495" s="832"/>
      <c r="AT495" s="832"/>
      <c r="AU495" s="834"/>
    </row>
    <row r="496" spans="1:47" ht="51">
      <c r="A496" s="1401">
        <v>29</v>
      </c>
      <c r="B496" s="1402" t="s">
        <v>1570</v>
      </c>
      <c r="C496" s="1402"/>
      <c r="D496" s="1402"/>
      <c r="E496" s="1402"/>
      <c r="F496" s="1402"/>
      <c r="G496" s="1358" t="s">
        <v>46</v>
      </c>
      <c r="H496" s="1403">
        <v>2019</v>
      </c>
      <c r="I496" s="1403"/>
      <c r="J496" s="1403">
        <v>2021</v>
      </c>
      <c r="K496" s="1403"/>
      <c r="L496" s="1403"/>
      <c r="M496" s="1359" t="s">
        <v>1915</v>
      </c>
      <c r="N496" s="1405">
        <v>7000</v>
      </c>
      <c r="O496" s="1405"/>
      <c r="P496" s="1421">
        <v>4200</v>
      </c>
      <c r="Q496" s="1421"/>
      <c r="R496" s="1421"/>
      <c r="S496" s="1421"/>
      <c r="T496" s="1421"/>
      <c r="U496" s="1421"/>
      <c r="V496" s="1421"/>
      <c r="W496" s="1421"/>
      <c r="X496" s="1421"/>
      <c r="Y496" s="1421"/>
      <c r="Z496" s="1421"/>
      <c r="AA496" s="1421"/>
      <c r="AB496" s="1421"/>
      <c r="AC496" s="1421"/>
      <c r="AD496" s="639">
        <f t="shared" si="269"/>
        <v>0</v>
      </c>
      <c r="AE496" s="639">
        <f t="shared" si="268"/>
        <v>0</v>
      </c>
      <c r="AF496" s="1416"/>
      <c r="AG496" s="1103"/>
      <c r="AH496" s="1494" t="s">
        <v>1524</v>
      </c>
      <c r="AK496" s="747" t="s">
        <v>2006</v>
      </c>
      <c r="AL496" s="747" t="s">
        <v>2061</v>
      </c>
      <c r="AM496" s="746"/>
      <c r="AN496" s="745" t="s">
        <v>2087</v>
      </c>
      <c r="AO496" s="1012" t="s">
        <v>1571</v>
      </c>
      <c r="AP496" s="1497" t="s">
        <v>1553</v>
      </c>
      <c r="AQ496" s="1362" t="s">
        <v>1572</v>
      </c>
      <c r="AS496" s="832"/>
      <c r="AT496" s="832"/>
      <c r="AU496" s="834"/>
    </row>
    <row r="497" spans="1:51" ht="51">
      <c r="A497" s="1008">
        <v>30</v>
      </c>
      <c r="B497" s="1402" t="s">
        <v>1573</v>
      </c>
      <c r="C497" s="1402"/>
      <c r="D497" s="1402"/>
      <c r="E497" s="1402"/>
      <c r="F497" s="1402"/>
      <c r="G497" s="1358" t="s">
        <v>46</v>
      </c>
      <c r="H497" s="1403">
        <v>2019</v>
      </c>
      <c r="I497" s="1403"/>
      <c r="J497" s="1403">
        <v>2021</v>
      </c>
      <c r="K497" s="1403"/>
      <c r="L497" s="1403"/>
      <c r="M497" s="1359" t="s">
        <v>1916</v>
      </c>
      <c r="N497" s="1405">
        <v>4000</v>
      </c>
      <c r="O497" s="1405"/>
      <c r="P497" s="1421">
        <v>2400</v>
      </c>
      <c r="Q497" s="1421"/>
      <c r="R497" s="1421"/>
      <c r="S497" s="1421"/>
      <c r="T497" s="1421"/>
      <c r="U497" s="1421"/>
      <c r="V497" s="1421"/>
      <c r="W497" s="1421"/>
      <c r="X497" s="1421"/>
      <c r="Y497" s="1421"/>
      <c r="Z497" s="1421"/>
      <c r="AA497" s="1421"/>
      <c r="AB497" s="1421"/>
      <c r="AC497" s="1421"/>
      <c r="AD497" s="639">
        <f t="shared" si="269"/>
        <v>0</v>
      </c>
      <c r="AE497" s="639">
        <f t="shared" si="268"/>
        <v>0</v>
      </c>
      <c r="AF497" s="1416"/>
      <c r="AG497" s="1103"/>
      <c r="AH497" s="1494" t="s">
        <v>1524</v>
      </c>
      <c r="AK497" s="747" t="s">
        <v>2007</v>
      </c>
      <c r="AL497" s="747" t="s">
        <v>2061</v>
      </c>
      <c r="AM497" s="746"/>
      <c r="AN497" s="745" t="s">
        <v>2087</v>
      </c>
      <c r="AO497" s="1012" t="s">
        <v>1130</v>
      </c>
      <c r="AP497" s="1497" t="s">
        <v>1553</v>
      </c>
      <c r="AQ497" s="1362" t="s">
        <v>1574</v>
      </c>
      <c r="AS497" s="832"/>
      <c r="AT497" s="832"/>
      <c r="AU497" s="834"/>
    </row>
    <row r="498" spans="1:51" ht="51">
      <c r="A498" s="1401">
        <v>31</v>
      </c>
      <c r="B498" s="1402" t="s">
        <v>1575</v>
      </c>
      <c r="C498" s="1402"/>
      <c r="D498" s="1402"/>
      <c r="E498" s="1402"/>
      <c r="F498" s="1402"/>
      <c r="G498" s="1358" t="s">
        <v>46</v>
      </c>
      <c r="H498" s="1403">
        <v>2019</v>
      </c>
      <c r="I498" s="1403"/>
      <c r="J498" s="1403">
        <v>2021</v>
      </c>
      <c r="K498" s="1403"/>
      <c r="L498" s="1403"/>
      <c r="M498" s="1414"/>
      <c r="N498" s="1405">
        <v>7500</v>
      </c>
      <c r="O498" s="1405"/>
      <c r="P498" s="1421">
        <v>4500</v>
      </c>
      <c r="Q498" s="1421"/>
      <c r="R498" s="1421"/>
      <c r="S498" s="1421"/>
      <c r="T498" s="1421"/>
      <c r="U498" s="1421"/>
      <c r="V498" s="1421"/>
      <c r="W498" s="1421"/>
      <c r="X498" s="1421"/>
      <c r="Y498" s="1421"/>
      <c r="Z498" s="1421"/>
      <c r="AA498" s="1421"/>
      <c r="AB498" s="1421"/>
      <c r="AC498" s="1421"/>
      <c r="AD498" s="639">
        <f t="shared" si="269"/>
        <v>0</v>
      </c>
      <c r="AE498" s="639">
        <f t="shared" si="268"/>
        <v>0</v>
      </c>
      <c r="AF498" s="1416"/>
      <c r="AG498" s="1103"/>
      <c r="AH498" s="1494" t="s">
        <v>1524</v>
      </c>
      <c r="AK498" s="747" t="s">
        <v>2040</v>
      </c>
      <c r="AL498" s="747" t="s">
        <v>41</v>
      </c>
      <c r="AM498" s="746"/>
      <c r="AO498" s="1012" t="s">
        <v>963</v>
      </c>
      <c r="AP498" s="1503" t="s">
        <v>1568</v>
      </c>
      <c r="AQ498" s="1362" t="s">
        <v>1576</v>
      </c>
      <c r="AS498" s="832"/>
      <c r="AT498" s="832"/>
      <c r="AU498" s="834"/>
    </row>
    <row r="499" spans="1:51" ht="51">
      <c r="A499" s="1008">
        <v>32</v>
      </c>
      <c r="B499" s="1466" t="s">
        <v>1577</v>
      </c>
      <c r="C499" s="1402"/>
      <c r="D499" s="1402"/>
      <c r="E499" s="1402"/>
      <c r="F499" s="1402"/>
      <c r="G499" s="1358" t="s">
        <v>46</v>
      </c>
      <c r="H499" s="1403">
        <v>2019</v>
      </c>
      <c r="I499" s="1403"/>
      <c r="J499" s="1403">
        <v>2021</v>
      </c>
      <c r="K499" s="1403"/>
      <c r="L499" s="1403"/>
      <c r="M499" s="1359" t="s">
        <v>1917</v>
      </c>
      <c r="N499" s="1405">
        <v>10000</v>
      </c>
      <c r="O499" s="1405"/>
      <c r="P499" s="1421">
        <v>6000</v>
      </c>
      <c r="Q499" s="1421"/>
      <c r="R499" s="1421"/>
      <c r="S499" s="1421"/>
      <c r="T499" s="1421"/>
      <c r="U499" s="1421"/>
      <c r="V499" s="1421"/>
      <c r="W499" s="1421"/>
      <c r="X499" s="1421"/>
      <c r="Y499" s="1421"/>
      <c r="Z499" s="1421"/>
      <c r="AA499" s="1421"/>
      <c r="AB499" s="1421"/>
      <c r="AC499" s="1421"/>
      <c r="AD499" s="639">
        <f t="shared" si="269"/>
        <v>0</v>
      </c>
      <c r="AE499" s="639">
        <f t="shared" si="268"/>
        <v>0</v>
      </c>
      <c r="AF499" s="1416"/>
      <c r="AG499" s="1103"/>
      <c r="AH499" s="1407" t="s">
        <v>1524</v>
      </c>
      <c r="AK499" s="747" t="s">
        <v>2008</v>
      </c>
      <c r="AL499" s="747" t="s">
        <v>41</v>
      </c>
      <c r="AM499" s="746"/>
      <c r="AN499" s="745" t="s">
        <v>2087</v>
      </c>
      <c r="AO499" s="1012" t="s">
        <v>963</v>
      </c>
      <c r="AP499" s="1503" t="s">
        <v>1568</v>
      </c>
      <c r="AQ499" s="1362" t="s">
        <v>1578</v>
      </c>
      <c r="AS499" s="832"/>
      <c r="AT499" s="832"/>
      <c r="AU499" s="834"/>
    </row>
    <row r="500" spans="1:51" ht="39.75" customHeight="1">
      <c r="A500" s="1401">
        <v>33</v>
      </c>
      <c r="B500" s="1504" t="s">
        <v>1579</v>
      </c>
      <c r="C500" s="1504"/>
      <c r="D500" s="1504"/>
      <c r="E500" s="1504"/>
      <c r="F500" s="1504"/>
      <c r="G500" s="996" t="s">
        <v>46</v>
      </c>
      <c r="H500" s="997">
        <v>2019</v>
      </c>
      <c r="I500" s="997"/>
      <c r="J500" s="997">
        <v>2021</v>
      </c>
      <c r="K500" s="997"/>
      <c r="L500" s="997"/>
      <c r="M500" s="1359" t="s">
        <v>1918</v>
      </c>
      <c r="N500" s="1015">
        <v>5000</v>
      </c>
      <c r="O500" s="1015"/>
      <c r="P500" s="1016">
        <v>3000</v>
      </c>
      <c r="Q500" s="1016"/>
      <c r="R500" s="1016"/>
      <c r="S500" s="1016"/>
      <c r="T500" s="1016"/>
      <c r="U500" s="1016"/>
      <c r="V500" s="1016"/>
      <c r="W500" s="1016"/>
      <c r="X500" s="1016"/>
      <c r="Y500" s="1016"/>
      <c r="Z500" s="1016"/>
      <c r="AA500" s="1516"/>
      <c r="AB500" s="1516"/>
      <c r="AC500" s="1516"/>
      <c r="AD500" s="639">
        <f t="shared" si="269"/>
        <v>0</v>
      </c>
      <c r="AE500" s="639">
        <f t="shared" si="268"/>
        <v>0</v>
      </c>
      <c r="AF500" s="1516"/>
      <c r="AG500" s="1516"/>
      <c r="AH500" s="1014" t="s">
        <v>1524</v>
      </c>
      <c r="AK500" s="747" t="s">
        <v>2009</v>
      </c>
      <c r="AL500" s="747" t="s">
        <v>2061</v>
      </c>
      <c r="AM500" s="746"/>
      <c r="AN500" s="745" t="s">
        <v>2087</v>
      </c>
      <c r="AO500" s="1440" t="s">
        <v>858</v>
      </c>
      <c r="AP500" s="1692" t="s">
        <v>1193</v>
      </c>
      <c r="AQ500" s="1505" t="s">
        <v>1580</v>
      </c>
      <c r="AS500" s="832"/>
      <c r="AT500" s="832"/>
      <c r="AU500" s="834"/>
      <c r="AW500" s="832"/>
      <c r="AX500" s="832"/>
      <c r="AY500" s="834"/>
    </row>
    <row r="501" spans="1:51" s="1514" customFormat="1" ht="54" customHeight="1">
      <c r="A501" s="1008">
        <v>34</v>
      </c>
      <c r="B501" s="1013" t="s">
        <v>1581</v>
      </c>
      <c r="C501" s="1013"/>
      <c r="D501" s="1013"/>
      <c r="E501" s="1013"/>
      <c r="F501" s="1013"/>
      <c r="G501" s="997" t="s">
        <v>511</v>
      </c>
      <c r="H501" s="997">
        <v>2019</v>
      </c>
      <c r="I501" s="997"/>
      <c r="J501" s="997">
        <v>2021</v>
      </c>
      <c r="K501" s="997"/>
      <c r="L501" s="997"/>
      <c r="M501" s="1516"/>
      <c r="N501" s="1399">
        <v>6000</v>
      </c>
      <c r="O501" s="1399"/>
      <c r="P501" s="1016">
        <v>3600</v>
      </c>
      <c r="Q501" s="1016"/>
      <c r="R501" s="1016"/>
      <c r="S501" s="1016"/>
      <c r="T501" s="1016"/>
      <c r="U501" s="1016"/>
      <c r="V501" s="1016"/>
      <c r="W501" s="1016"/>
      <c r="X501" s="1016"/>
      <c r="Y501" s="1016"/>
      <c r="Z501" s="1016"/>
      <c r="AA501" s="1516"/>
      <c r="AB501" s="1516"/>
      <c r="AC501" s="1516"/>
      <c r="AD501" s="639">
        <f t="shared" si="269"/>
        <v>0</v>
      </c>
      <c r="AE501" s="639">
        <f t="shared" si="268"/>
        <v>0</v>
      </c>
      <c r="AF501" s="1516"/>
      <c r="AG501" s="1516"/>
      <c r="AH501" s="1350" t="s">
        <v>1582</v>
      </c>
      <c r="AK501" s="1515" t="s">
        <v>2010</v>
      </c>
      <c r="AL501" s="747" t="s">
        <v>2061</v>
      </c>
      <c r="AM501" s="1516" t="s">
        <v>2081</v>
      </c>
      <c r="AN501" s="745" t="s">
        <v>2087</v>
      </c>
      <c r="AO501" s="1440" t="s">
        <v>934</v>
      </c>
      <c r="AP501" s="1506" t="s">
        <v>1568</v>
      </c>
      <c r="AQ501" s="1516"/>
      <c r="AS501" s="1516"/>
      <c r="AT501" s="1516"/>
      <c r="AU501" s="1706"/>
      <c r="AW501" s="1516"/>
      <c r="AX501" s="1516"/>
      <c r="AY501" s="1706"/>
    </row>
    <row r="502" spans="1:51" s="1514" customFormat="1" ht="52.5" customHeight="1">
      <c r="A502" s="1401">
        <v>35</v>
      </c>
      <c r="B502" s="1013" t="s">
        <v>1583</v>
      </c>
      <c r="C502" s="1013"/>
      <c r="D502" s="1013"/>
      <c r="E502" s="1013"/>
      <c r="F502" s="1013"/>
      <c r="G502" s="997" t="s">
        <v>511</v>
      </c>
      <c r="H502" s="997">
        <v>2019</v>
      </c>
      <c r="I502" s="997"/>
      <c r="J502" s="997">
        <v>2021</v>
      </c>
      <c r="K502" s="997"/>
      <c r="L502" s="997"/>
      <c r="M502" s="1516"/>
      <c r="N502" s="1399">
        <v>6000</v>
      </c>
      <c r="O502" s="1399"/>
      <c r="P502" s="1016">
        <v>3600</v>
      </c>
      <c r="Q502" s="1016"/>
      <c r="R502" s="1016"/>
      <c r="S502" s="1016"/>
      <c r="T502" s="1016"/>
      <c r="U502" s="1016"/>
      <c r="V502" s="1016"/>
      <c r="W502" s="1016"/>
      <c r="X502" s="1016"/>
      <c r="Y502" s="1016"/>
      <c r="Z502" s="1016"/>
      <c r="AA502" s="1516"/>
      <c r="AB502" s="1516"/>
      <c r="AC502" s="1516"/>
      <c r="AD502" s="639">
        <f t="shared" si="269"/>
        <v>0</v>
      </c>
      <c r="AE502" s="639">
        <f t="shared" si="268"/>
        <v>0</v>
      </c>
      <c r="AF502" s="1516"/>
      <c r="AG502" s="1516"/>
      <c r="AH502" s="1350" t="s">
        <v>1582</v>
      </c>
      <c r="AK502" s="1515" t="s">
        <v>1994</v>
      </c>
      <c r="AL502" s="747" t="s">
        <v>2061</v>
      </c>
      <c r="AM502" s="1516"/>
      <c r="AN502" s="745" t="s">
        <v>2087</v>
      </c>
      <c r="AO502" s="1440" t="s">
        <v>934</v>
      </c>
      <c r="AP502" s="1507" t="s">
        <v>1553</v>
      </c>
      <c r="AQ502" s="1516"/>
      <c r="AS502" s="1516"/>
      <c r="AT502" s="1516"/>
      <c r="AU502" s="1706"/>
      <c r="AW502" s="1516"/>
      <c r="AX502" s="1516"/>
      <c r="AY502" s="1706"/>
    </row>
    <row r="503" spans="1:51" s="1514" customFormat="1" ht="51" customHeight="1">
      <c r="A503" s="1008">
        <v>36</v>
      </c>
      <c r="B503" s="1013" t="s">
        <v>1584</v>
      </c>
      <c r="C503" s="1013"/>
      <c r="D503" s="1013"/>
      <c r="E503" s="1013"/>
      <c r="F503" s="1013"/>
      <c r="G503" s="997" t="s">
        <v>10</v>
      </c>
      <c r="H503" s="997">
        <v>2019</v>
      </c>
      <c r="I503" s="997"/>
      <c r="J503" s="997">
        <v>2021</v>
      </c>
      <c r="K503" s="997"/>
      <c r="L503" s="997"/>
      <c r="M503" s="1426" t="s">
        <v>1942</v>
      </c>
      <c r="N503" s="1399">
        <v>15000</v>
      </c>
      <c r="O503" s="1399"/>
      <c r="P503" s="1016">
        <v>9000</v>
      </c>
      <c r="Q503" s="1016"/>
      <c r="R503" s="1016"/>
      <c r="S503" s="1016"/>
      <c r="T503" s="1016"/>
      <c r="U503" s="1016"/>
      <c r="V503" s="1016"/>
      <c r="W503" s="1016"/>
      <c r="X503" s="1016"/>
      <c r="Y503" s="1016"/>
      <c r="Z503" s="1016"/>
      <c r="AA503" s="1516"/>
      <c r="AB503" s="1516"/>
      <c r="AC503" s="1516"/>
      <c r="AD503" s="639">
        <f t="shared" si="269"/>
        <v>0</v>
      </c>
      <c r="AE503" s="639">
        <f>AD503</f>
        <v>0</v>
      </c>
      <c r="AF503" s="1516"/>
      <c r="AG503" s="1516"/>
      <c r="AH503" s="1350" t="s">
        <v>1582</v>
      </c>
      <c r="AK503" s="1515" t="s">
        <v>2024</v>
      </c>
      <c r="AL503" s="747" t="s">
        <v>2061</v>
      </c>
      <c r="AM503" s="1516"/>
      <c r="AN503" s="745" t="s">
        <v>2087</v>
      </c>
      <c r="AO503" s="1440" t="s">
        <v>880</v>
      </c>
      <c r="AP503" s="951" t="s">
        <v>1546</v>
      </c>
      <c r="AR503" s="1516"/>
      <c r="AS503" s="1516"/>
      <c r="AT503" s="1706"/>
    </row>
    <row r="504" spans="1:51" s="1514" customFormat="1" ht="52.5" customHeight="1">
      <c r="A504" s="1008">
        <v>37</v>
      </c>
      <c r="B504" s="1013" t="s">
        <v>1649</v>
      </c>
      <c r="C504" s="1013"/>
      <c r="D504" s="1013"/>
      <c r="E504" s="1013"/>
      <c r="F504" s="1013"/>
      <c r="G504" s="996" t="s">
        <v>46</v>
      </c>
      <c r="H504" s="997">
        <v>2019</v>
      </c>
      <c r="I504" s="997"/>
      <c r="J504" s="997">
        <v>2021</v>
      </c>
      <c r="K504" s="997"/>
      <c r="L504" s="997"/>
      <c r="M504" s="1362" t="s">
        <v>2078</v>
      </c>
      <c r="N504" s="1015">
        <v>2500</v>
      </c>
      <c r="O504" s="1015"/>
      <c r="P504" s="1016">
        <v>1500</v>
      </c>
      <c r="Q504" s="1016"/>
      <c r="R504" s="1016"/>
      <c r="S504" s="1016"/>
      <c r="T504" s="1016"/>
      <c r="U504" s="1016"/>
      <c r="V504" s="1016"/>
      <c r="W504" s="1016"/>
      <c r="X504" s="1016"/>
      <c r="Y504" s="1016"/>
      <c r="Z504" s="1016"/>
      <c r="AA504" s="1516"/>
      <c r="AB504" s="1516"/>
      <c r="AC504" s="1516"/>
      <c r="AD504" s="639">
        <f t="shared" si="269"/>
        <v>0</v>
      </c>
      <c r="AE504" s="639">
        <f t="shared" si="268"/>
        <v>0</v>
      </c>
      <c r="AF504" s="1516"/>
      <c r="AG504" s="1516"/>
      <c r="AH504" s="1350" t="s">
        <v>1650</v>
      </c>
      <c r="AK504" s="1515" t="s">
        <v>1993</v>
      </c>
      <c r="AL504" s="747" t="s">
        <v>2061</v>
      </c>
      <c r="AM504" s="1516"/>
      <c r="AN504" s="745" t="s">
        <v>2087</v>
      </c>
      <c r="AO504" s="1440" t="s">
        <v>1051</v>
      </c>
      <c r="AP504" s="951" t="s">
        <v>1546</v>
      </c>
      <c r="AQ504" s="1707"/>
      <c r="AS504" s="1516"/>
      <c r="AT504" s="1516"/>
      <c r="AU504" s="1708"/>
      <c r="AW504" s="1707"/>
      <c r="AX504" s="1707"/>
      <c r="AY504" s="1708"/>
    </row>
    <row r="505" spans="1:51" s="1173" customFormat="1" ht="52.5" customHeight="1">
      <c r="A505" s="942">
        <v>38</v>
      </c>
      <c r="B505" s="943" t="s">
        <v>1821</v>
      </c>
      <c r="C505" s="943"/>
      <c r="D505" s="943"/>
      <c r="E505" s="943"/>
      <c r="F505" s="943"/>
      <c r="G505" s="944" t="s">
        <v>33</v>
      </c>
      <c r="H505" s="945">
        <v>2019</v>
      </c>
      <c r="I505" s="945"/>
      <c r="J505" s="945">
        <v>2021</v>
      </c>
      <c r="K505" s="945"/>
      <c r="L505" s="945"/>
      <c r="M505" s="832"/>
      <c r="N505" s="946">
        <v>15000</v>
      </c>
      <c r="O505" s="946"/>
      <c r="P505" s="947">
        <v>9000</v>
      </c>
      <c r="Q505" s="947"/>
      <c r="R505" s="947"/>
      <c r="S505" s="947"/>
      <c r="T505" s="947"/>
      <c r="U505" s="947"/>
      <c r="V505" s="947"/>
      <c r="W505" s="947"/>
      <c r="X505" s="947"/>
      <c r="Y505" s="947"/>
      <c r="Z505" s="947"/>
      <c r="AA505" s="832"/>
      <c r="AB505" s="832"/>
      <c r="AC505" s="832"/>
      <c r="AD505" s="948">
        <f t="shared" ref="AD505" si="272">P505*0</f>
        <v>0</v>
      </c>
      <c r="AE505" s="948">
        <f t="shared" ref="AE505" si="273">AD505</f>
        <v>0</v>
      </c>
      <c r="AF505" s="832"/>
      <c r="AG505" s="832"/>
      <c r="AH505" s="949"/>
      <c r="AI505" s="1173" t="s">
        <v>1823</v>
      </c>
      <c r="AK505" s="1174" t="s">
        <v>1757</v>
      </c>
      <c r="AL505" s="1174" t="s">
        <v>164</v>
      </c>
      <c r="AM505" s="832"/>
      <c r="AN505" s="745" t="s">
        <v>2087</v>
      </c>
      <c r="AO505" s="950" t="s">
        <v>934</v>
      </c>
      <c r="AP505" s="951" t="s">
        <v>1546</v>
      </c>
      <c r="AQ505" s="1553"/>
      <c r="AS505" s="832"/>
      <c r="AT505" s="832"/>
      <c r="AU505" s="1554"/>
      <c r="AW505" s="1553"/>
      <c r="AX505" s="1553"/>
      <c r="AY505" s="1554"/>
    </row>
    <row r="506" spans="1:51" s="1173" customFormat="1" ht="36.75" customHeight="1">
      <c r="A506" s="942">
        <v>39</v>
      </c>
      <c r="B506" s="943" t="s">
        <v>1828</v>
      </c>
      <c r="C506" s="832"/>
      <c r="D506" s="832"/>
      <c r="E506" s="832"/>
      <c r="F506" s="832"/>
      <c r="G506" s="944" t="s">
        <v>9</v>
      </c>
      <c r="H506" s="945">
        <v>2020</v>
      </c>
      <c r="I506" s="945"/>
      <c r="J506" s="945">
        <v>2022</v>
      </c>
      <c r="K506" s="832"/>
      <c r="L506" s="832"/>
      <c r="M506" s="1709"/>
      <c r="N506" s="946">
        <v>10600</v>
      </c>
      <c r="O506" s="946"/>
      <c r="P506" s="947">
        <v>10600</v>
      </c>
      <c r="Q506" s="832"/>
      <c r="R506" s="832"/>
      <c r="S506" s="832"/>
      <c r="T506" s="832"/>
      <c r="U506" s="832"/>
      <c r="V506" s="832"/>
      <c r="W506" s="1710"/>
      <c r="X506" s="1710"/>
      <c r="Y506" s="1710"/>
      <c r="Z506" s="1710"/>
      <c r="AA506" s="832"/>
      <c r="AB506" s="832"/>
      <c r="AC506" s="832"/>
      <c r="AD506" s="948">
        <f t="shared" ref="AD506" si="274">P506*0</f>
        <v>0</v>
      </c>
      <c r="AE506" s="948">
        <f t="shared" ref="AE506" si="275">AD506</f>
        <v>0</v>
      </c>
      <c r="AF506" s="1710"/>
      <c r="AG506" s="1710"/>
      <c r="AH506" s="832"/>
      <c r="AI506" s="1173" t="s">
        <v>1829</v>
      </c>
      <c r="AK506" s="1174" t="s">
        <v>2062</v>
      </c>
      <c r="AL506" s="1174" t="s">
        <v>164</v>
      </c>
      <c r="AM506" s="832"/>
      <c r="AN506" s="745"/>
    </row>
    <row r="507" spans="1:51" s="1173" customFormat="1" ht="38.25">
      <c r="A507" s="942">
        <v>40</v>
      </c>
      <c r="B507" s="943" t="s">
        <v>1834</v>
      </c>
      <c r="C507" s="832"/>
      <c r="D507" s="832"/>
      <c r="E507" s="832"/>
      <c r="F507" s="832"/>
      <c r="G507" s="944" t="s">
        <v>33</v>
      </c>
      <c r="H507" s="945">
        <v>2019</v>
      </c>
      <c r="I507" s="945"/>
      <c r="J507" s="945">
        <v>2021</v>
      </c>
      <c r="K507" s="832"/>
      <c r="L507" s="832"/>
      <c r="M507" s="1362" t="s">
        <v>2136</v>
      </c>
      <c r="N507" s="946">
        <v>48800</v>
      </c>
      <c r="O507" s="946"/>
      <c r="P507" s="947">
        <v>28800</v>
      </c>
      <c r="Q507" s="832"/>
      <c r="R507" s="832"/>
      <c r="S507" s="832"/>
      <c r="T507" s="832"/>
      <c r="U507" s="832"/>
      <c r="V507" s="832"/>
      <c r="W507" s="1710"/>
      <c r="X507" s="1710"/>
      <c r="Y507" s="1710"/>
      <c r="Z507" s="1710"/>
      <c r="AA507" s="832"/>
      <c r="AB507" s="832"/>
      <c r="AC507" s="832"/>
      <c r="AD507" s="948">
        <f t="shared" ref="AD507" si="276">P507*0</f>
        <v>0</v>
      </c>
      <c r="AE507" s="948">
        <f t="shared" ref="AE507" si="277">AD507</f>
        <v>0</v>
      </c>
      <c r="AF507" s="1710"/>
      <c r="AG507" s="1710"/>
      <c r="AH507" s="832"/>
      <c r="AI507" s="1173" t="s">
        <v>1835</v>
      </c>
      <c r="AK507" s="1174" t="s">
        <v>1757</v>
      </c>
      <c r="AL507" s="747" t="s">
        <v>2061</v>
      </c>
      <c r="AM507" s="832"/>
      <c r="AN507" s="745" t="s">
        <v>2087</v>
      </c>
    </row>
    <row r="508" spans="1:51" ht="36.75" customHeight="1">
      <c r="A508" s="942">
        <v>41</v>
      </c>
      <c r="B508" s="943" t="s">
        <v>1839</v>
      </c>
      <c r="C508" s="832"/>
      <c r="D508" s="832"/>
      <c r="E508" s="832"/>
      <c r="F508" s="832"/>
      <c r="G508" s="944" t="s">
        <v>33</v>
      </c>
      <c r="H508" s="945">
        <v>2019</v>
      </c>
      <c r="I508" s="945"/>
      <c r="J508" s="945">
        <v>2021</v>
      </c>
      <c r="K508" s="832"/>
      <c r="L508" s="832"/>
      <c r="M508" s="1362" t="s">
        <v>1943</v>
      </c>
      <c r="N508" s="946">
        <v>5000</v>
      </c>
      <c r="O508" s="946"/>
      <c r="P508" s="947">
        <v>3000</v>
      </c>
      <c r="Q508" s="832"/>
      <c r="R508" s="832"/>
      <c r="S508" s="832"/>
      <c r="T508" s="832"/>
      <c r="U508" s="832"/>
      <c r="V508" s="832"/>
      <c r="W508" s="1710"/>
      <c r="X508" s="1710"/>
      <c r="Y508" s="1710"/>
      <c r="Z508" s="1710"/>
      <c r="AA508" s="832"/>
      <c r="AB508" s="832"/>
      <c r="AC508" s="832"/>
      <c r="AD508" s="948">
        <f t="shared" ref="AD508:AD509" si="278">P508*0</f>
        <v>0</v>
      </c>
      <c r="AE508" s="948">
        <f t="shared" ref="AE508:AE509" si="279">AD508</f>
        <v>0</v>
      </c>
      <c r="AF508" s="1710"/>
      <c r="AG508" s="1710"/>
      <c r="AH508" s="832"/>
      <c r="AI508" s="745" t="s">
        <v>1840</v>
      </c>
      <c r="AK508" s="747" t="s">
        <v>2011</v>
      </c>
      <c r="AL508" s="747" t="s">
        <v>2061</v>
      </c>
      <c r="AM508" s="746"/>
      <c r="AN508" s="745" t="s">
        <v>2087</v>
      </c>
    </row>
    <row r="509" spans="1:51" ht="35.25" customHeight="1">
      <c r="A509" s="942">
        <v>42</v>
      </c>
      <c r="B509" s="943" t="s">
        <v>2075</v>
      </c>
      <c r="G509" s="944" t="s">
        <v>33</v>
      </c>
      <c r="H509" s="945">
        <v>2019</v>
      </c>
      <c r="I509" s="945"/>
      <c r="J509" s="945">
        <v>2021</v>
      </c>
      <c r="M509" s="1709"/>
      <c r="N509" s="946">
        <v>5000</v>
      </c>
      <c r="O509" s="946"/>
      <c r="P509" s="947">
        <v>3000</v>
      </c>
      <c r="Q509" s="832"/>
      <c r="R509" s="832"/>
      <c r="S509" s="832"/>
      <c r="T509" s="832"/>
      <c r="U509" s="832"/>
      <c r="V509" s="832"/>
      <c r="W509" s="1710"/>
      <c r="X509" s="1710"/>
      <c r="Y509" s="1710"/>
      <c r="Z509" s="1710"/>
      <c r="AA509" s="832"/>
      <c r="AB509" s="832"/>
      <c r="AC509" s="832"/>
      <c r="AD509" s="832">
        <f t="shared" si="278"/>
        <v>0</v>
      </c>
      <c r="AE509" s="832">
        <f t="shared" si="279"/>
        <v>0</v>
      </c>
      <c r="AF509" s="1710"/>
      <c r="AG509" s="1710"/>
      <c r="AH509" s="832"/>
      <c r="AI509" s="745" t="s">
        <v>2076</v>
      </c>
      <c r="AK509" s="747" t="s">
        <v>2023</v>
      </c>
      <c r="AL509" s="747" t="s">
        <v>41</v>
      </c>
      <c r="AM509" s="746"/>
      <c r="AN509" s="745" t="s">
        <v>2087</v>
      </c>
    </row>
  </sheetData>
  <mergeCells count="45">
    <mergeCell ref="AL2:AL5"/>
    <mergeCell ref="AH318:AH319"/>
    <mergeCell ref="AH235:AH237"/>
    <mergeCell ref="AH304:AH306"/>
    <mergeCell ref="AH2:AH5"/>
    <mergeCell ref="AK2:AK5"/>
    <mergeCell ref="Q2:S3"/>
    <mergeCell ref="O4:P5"/>
    <mergeCell ref="R4:S5"/>
    <mergeCell ref="L3:L5"/>
    <mergeCell ref="M3:M5"/>
    <mergeCell ref="N3:P3"/>
    <mergeCell ref="N4:N5"/>
    <mergeCell ref="T2:U3"/>
    <mergeCell ref="X2:X5"/>
    <mergeCell ref="A2:A5"/>
    <mergeCell ref="B2:B5"/>
    <mergeCell ref="C2:D2"/>
    <mergeCell ref="E2:E5"/>
    <mergeCell ref="F2:F5"/>
    <mergeCell ref="C3:C5"/>
    <mergeCell ref="D3:D5"/>
    <mergeCell ref="G2:G5"/>
    <mergeCell ref="H2:H5"/>
    <mergeCell ref="I2:I5"/>
    <mergeCell ref="J2:J5"/>
    <mergeCell ref="K2:K5"/>
    <mergeCell ref="L2:P2"/>
    <mergeCell ref="Q4:Q5"/>
    <mergeCell ref="AM2:AM5"/>
    <mergeCell ref="AN2:AN5"/>
    <mergeCell ref="U4:U5"/>
    <mergeCell ref="T4:T5"/>
    <mergeCell ref="V2:V5"/>
    <mergeCell ref="AG2:AG5"/>
    <mergeCell ref="W2:W5"/>
    <mergeCell ref="Y2:Y5"/>
    <mergeCell ref="Z2:Z5"/>
    <mergeCell ref="AA2:AC3"/>
    <mergeCell ref="AD2:AE3"/>
    <mergeCell ref="AA4:AA5"/>
    <mergeCell ref="AB4:AC5"/>
    <mergeCell ref="AD4:AD5"/>
    <mergeCell ref="AE4:AE5"/>
    <mergeCell ref="AF2:AF5"/>
  </mergeCells>
  <pageMargins left="0.70866141732283505" right="0.70866141732283505" top="0.74803149606299202" bottom="0.74803149606299202" header="0.31496062992126" footer="0.31496062992126"/>
  <pageSetup paperSize="9" scale="7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128"/>
  <sheetViews>
    <sheetView zoomScale="85" zoomScaleNormal="85" workbookViewId="0">
      <pane xSplit="2" ySplit="15" topLeftCell="C43" activePane="bottomRight" state="frozen"/>
      <selection pane="topRight" activeCell="C1" sqref="C1"/>
      <selection pane="bottomLeft" activeCell="A13" sqref="A13"/>
      <selection pane="bottomRight" activeCell="Q11" sqref="Q11"/>
    </sheetView>
  </sheetViews>
  <sheetFormatPr defaultColWidth="9" defaultRowHeight="12.75"/>
  <cols>
    <col min="1" max="1" width="2.75" style="613" customWidth="1"/>
    <col min="2" max="2" width="50" style="614" customWidth="1"/>
    <col min="3" max="3" width="9.75" style="615" customWidth="1"/>
    <col min="4" max="4" width="10" style="616" customWidth="1"/>
    <col min="5" max="5" width="6.875" style="617" customWidth="1"/>
    <col min="6" max="7" width="10" style="618" customWidth="1"/>
    <col min="8" max="8" width="6.875" style="619" customWidth="1"/>
    <col min="9" max="9" width="10" style="618" customWidth="1"/>
    <col min="10" max="11" width="6.875" style="619" customWidth="1"/>
    <col min="12" max="13" width="10" style="618" customWidth="1"/>
    <col min="14" max="14" width="11.125" style="618" customWidth="1"/>
    <col min="15" max="15" width="19.5" style="615" bestFit="1" customWidth="1"/>
    <col min="16" max="256" width="9" style="622"/>
    <col min="257" max="257" width="2.75" style="622" customWidth="1"/>
    <col min="258" max="258" width="50" style="622" customWidth="1"/>
    <col min="259" max="259" width="9.75" style="622" customWidth="1"/>
    <col min="260" max="260" width="10" style="622" customWidth="1"/>
    <col min="261" max="261" width="6.875" style="622" customWidth="1"/>
    <col min="262" max="263" width="10" style="622" customWidth="1"/>
    <col min="264" max="264" width="6.875" style="622" customWidth="1"/>
    <col min="265" max="265" width="10" style="622" customWidth="1"/>
    <col min="266" max="267" width="6.875" style="622" customWidth="1"/>
    <col min="268" max="269" width="10" style="622" customWidth="1"/>
    <col min="270" max="270" width="11.125" style="622" customWidth="1"/>
    <col min="271" max="271" width="19.5" style="622" bestFit="1" customWidth="1"/>
    <col min="272" max="512" width="9" style="622"/>
    <col min="513" max="513" width="2.75" style="622" customWidth="1"/>
    <col min="514" max="514" width="50" style="622" customWidth="1"/>
    <col min="515" max="515" width="9.75" style="622" customWidth="1"/>
    <col min="516" max="516" width="10" style="622" customWidth="1"/>
    <col min="517" max="517" width="6.875" style="622" customWidth="1"/>
    <col min="518" max="519" width="10" style="622" customWidth="1"/>
    <col min="520" max="520" width="6.875" style="622" customWidth="1"/>
    <col min="521" max="521" width="10" style="622" customWidth="1"/>
    <col min="522" max="523" width="6.875" style="622" customWidth="1"/>
    <col min="524" max="525" width="10" style="622" customWidth="1"/>
    <col min="526" max="526" width="11.125" style="622" customWidth="1"/>
    <col min="527" max="527" width="19.5" style="622" bestFit="1" customWidth="1"/>
    <col min="528" max="768" width="9" style="622"/>
    <col min="769" max="769" width="2.75" style="622" customWidth="1"/>
    <col min="770" max="770" width="50" style="622" customWidth="1"/>
    <col min="771" max="771" width="9.75" style="622" customWidth="1"/>
    <col min="772" max="772" width="10" style="622" customWidth="1"/>
    <col min="773" max="773" width="6.875" style="622" customWidth="1"/>
    <col min="774" max="775" width="10" style="622" customWidth="1"/>
    <col min="776" max="776" width="6.875" style="622" customWidth="1"/>
    <col min="777" max="777" width="10" style="622" customWidth="1"/>
    <col min="778" max="779" width="6.875" style="622" customWidth="1"/>
    <col min="780" max="781" width="10" style="622" customWidth="1"/>
    <col min="782" max="782" width="11.125" style="622" customWidth="1"/>
    <col min="783" max="783" width="19.5" style="622" bestFit="1" customWidth="1"/>
    <col min="784" max="1024" width="9" style="622"/>
    <col min="1025" max="1025" width="2.75" style="622" customWidth="1"/>
    <col min="1026" max="1026" width="50" style="622" customWidth="1"/>
    <col min="1027" max="1027" width="9.75" style="622" customWidth="1"/>
    <col min="1028" max="1028" width="10" style="622" customWidth="1"/>
    <col min="1029" max="1029" width="6.875" style="622" customWidth="1"/>
    <col min="1030" max="1031" width="10" style="622" customWidth="1"/>
    <col min="1032" max="1032" width="6.875" style="622" customWidth="1"/>
    <col min="1033" max="1033" width="10" style="622" customWidth="1"/>
    <col min="1034" max="1035" width="6.875" style="622" customWidth="1"/>
    <col min="1036" max="1037" width="10" style="622" customWidth="1"/>
    <col min="1038" max="1038" width="11.125" style="622" customWidth="1"/>
    <col min="1039" max="1039" width="19.5" style="622" bestFit="1" customWidth="1"/>
    <col min="1040" max="1280" width="9" style="622"/>
    <col min="1281" max="1281" width="2.75" style="622" customWidth="1"/>
    <col min="1282" max="1282" width="50" style="622" customWidth="1"/>
    <col min="1283" max="1283" width="9.75" style="622" customWidth="1"/>
    <col min="1284" max="1284" width="10" style="622" customWidth="1"/>
    <col min="1285" max="1285" width="6.875" style="622" customWidth="1"/>
    <col min="1286" max="1287" width="10" style="622" customWidth="1"/>
    <col min="1288" max="1288" width="6.875" style="622" customWidth="1"/>
    <col min="1289" max="1289" width="10" style="622" customWidth="1"/>
    <col min="1290" max="1291" width="6.875" style="622" customWidth="1"/>
    <col min="1292" max="1293" width="10" style="622" customWidth="1"/>
    <col min="1294" max="1294" width="11.125" style="622" customWidth="1"/>
    <col min="1295" max="1295" width="19.5" style="622" bestFit="1" customWidth="1"/>
    <col min="1296" max="1536" width="9" style="622"/>
    <col min="1537" max="1537" width="2.75" style="622" customWidth="1"/>
    <col min="1538" max="1538" width="50" style="622" customWidth="1"/>
    <col min="1539" max="1539" width="9.75" style="622" customWidth="1"/>
    <col min="1540" max="1540" width="10" style="622" customWidth="1"/>
    <col min="1541" max="1541" width="6.875" style="622" customWidth="1"/>
    <col min="1542" max="1543" width="10" style="622" customWidth="1"/>
    <col min="1544" max="1544" width="6.875" style="622" customWidth="1"/>
    <col min="1545" max="1545" width="10" style="622" customWidth="1"/>
    <col min="1546" max="1547" width="6.875" style="622" customWidth="1"/>
    <col min="1548" max="1549" width="10" style="622" customWidth="1"/>
    <col min="1550" max="1550" width="11.125" style="622" customWidth="1"/>
    <col min="1551" max="1551" width="19.5" style="622" bestFit="1" customWidth="1"/>
    <col min="1552" max="1792" width="9" style="622"/>
    <col min="1793" max="1793" width="2.75" style="622" customWidth="1"/>
    <col min="1794" max="1794" width="50" style="622" customWidth="1"/>
    <col min="1795" max="1795" width="9.75" style="622" customWidth="1"/>
    <col min="1796" max="1796" width="10" style="622" customWidth="1"/>
    <col min="1797" max="1797" width="6.875" style="622" customWidth="1"/>
    <col min="1798" max="1799" width="10" style="622" customWidth="1"/>
    <col min="1800" max="1800" width="6.875" style="622" customWidth="1"/>
    <col min="1801" max="1801" width="10" style="622" customWidth="1"/>
    <col min="1802" max="1803" width="6.875" style="622" customWidth="1"/>
    <col min="1804" max="1805" width="10" style="622" customWidth="1"/>
    <col min="1806" max="1806" width="11.125" style="622" customWidth="1"/>
    <col min="1807" max="1807" width="19.5" style="622" bestFit="1" customWidth="1"/>
    <col min="1808" max="2048" width="9" style="622"/>
    <col min="2049" max="2049" width="2.75" style="622" customWidth="1"/>
    <col min="2050" max="2050" width="50" style="622" customWidth="1"/>
    <col min="2051" max="2051" width="9.75" style="622" customWidth="1"/>
    <col min="2052" max="2052" width="10" style="622" customWidth="1"/>
    <col min="2053" max="2053" width="6.875" style="622" customWidth="1"/>
    <col min="2054" max="2055" width="10" style="622" customWidth="1"/>
    <col min="2056" max="2056" width="6.875" style="622" customWidth="1"/>
    <col min="2057" max="2057" width="10" style="622" customWidth="1"/>
    <col min="2058" max="2059" width="6.875" style="622" customWidth="1"/>
    <col min="2060" max="2061" width="10" style="622" customWidth="1"/>
    <col min="2062" max="2062" width="11.125" style="622" customWidth="1"/>
    <col min="2063" max="2063" width="19.5" style="622" bestFit="1" customWidth="1"/>
    <col min="2064" max="2304" width="9" style="622"/>
    <col min="2305" max="2305" width="2.75" style="622" customWidth="1"/>
    <col min="2306" max="2306" width="50" style="622" customWidth="1"/>
    <col min="2307" max="2307" width="9.75" style="622" customWidth="1"/>
    <col min="2308" max="2308" width="10" style="622" customWidth="1"/>
    <col min="2309" max="2309" width="6.875" style="622" customWidth="1"/>
    <col min="2310" max="2311" width="10" style="622" customWidth="1"/>
    <col min="2312" max="2312" width="6.875" style="622" customWidth="1"/>
    <col min="2313" max="2313" width="10" style="622" customWidth="1"/>
    <col min="2314" max="2315" width="6.875" style="622" customWidth="1"/>
    <col min="2316" max="2317" width="10" style="622" customWidth="1"/>
    <col min="2318" max="2318" width="11.125" style="622" customWidth="1"/>
    <col min="2319" max="2319" width="19.5" style="622" bestFit="1" customWidth="1"/>
    <col min="2320" max="2560" width="9" style="622"/>
    <col min="2561" max="2561" width="2.75" style="622" customWidth="1"/>
    <col min="2562" max="2562" width="50" style="622" customWidth="1"/>
    <col min="2563" max="2563" width="9.75" style="622" customWidth="1"/>
    <col min="2564" max="2564" width="10" style="622" customWidth="1"/>
    <col min="2565" max="2565" width="6.875" style="622" customWidth="1"/>
    <col min="2566" max="2567" width="10" style="622" customWidth="1"/>
    <col min="2568" max="2568" width="6.875" style="622" customWidth="1"/>
    <col min="2569" max="2569" width="10" style="622" customWidth="1"/>
    <col min="2570" max="2571" width="6.875" style="622" customWidth="1"/>
    <col min="2572" max="2573" width="10" style="622" customWidth="1"/>
    <col min="2574" max="2574" width="11.125" style="622" customWidth="1"/>
    <col min="2575" max="2575" width="19.5" style="622" bestFit="1" customWidth="1"/>
    <col min="2576" max="2816" width="9" style="622"/>
    <col min="2817" max="2817" width="2.75" style="622" customWidth="1"/>
    <col min="2818" max="2818" width="50" style="622" customWidth="1"/>
    <col min="2819" max="2819" width="9.75" style="622" customWidth="1"/>
    <col min="2820" max="2820" width="10" style="622" customWidth="1"/>
    <col min="2821" max="2821" width="6.875" style="622" customWidth="1"/>
    <col min="2822" max="2823" width="10" style="622" customWidth="1"/>
    <col min="2824" max="2824" width="6.875" style="622" customWidth="1"/>
    <col min="2825" max="2825" width="10" style="622" customWidth="1"/>
    <col min="2826" max="2827" width="6.875" style="622" customWidth="1"/>
    <col min="2828" max="2829" width="10" style="622" customWidth="1"/>
    <col min="2830" max="2830" width="11.125" style="622" customWidth="1"/>
    <col min="2831" max="2831" width="19.5" style="622" bestFit="1" customWidth="1"/>
    <col min="2832" max="3072" width="9" style="622"/>
    <col min="3073" max="3073" width="2.75" style="622" customWidth="1"/>
    <col min="3074" max="3074" width="50" style="622" customWidth="1"/>
    <col min="3075" max="3075" width="9.75" style="622" customWidth="1"/>
    <col min="3076" max="3076" width="10" style="622" customWidth="1"/>
    <col min="3077" max="3077" width="6.875" style="622" customWidth="1"/>
    <col min="3078" max="3079" width="10" style="622" customWidth="1"/>
    <col min="3080" max="3080" width="6.875" style="622" customWidth="1"/>
    <col min="3081" max="3081" width="10" style="622" customWidth="1"/>
    <col min="3082" max="3083" width="6.875" style="622" customWidth="1"/>
    <col min="3084" max="3085" width="10" style="622" customWidth="1"/>
    <col min="3086" max="3086" width="11.125" style="622" customWidth="1"/>
    <col min="3087" max="3087" width="19.5" style="622" bestFit="1" customWidth="1"/>
    <col min="3088" max="3328" width="9" style="622"/>
    <col min="3329" max="3329" width="2.75" style="622" customWidth="1"/>
    <col min="3330" max="3330" width="50" style="622" customWidth="1"/>
    <col min="3331" max="3331" width="9.75" style="622" customWidth="1"/>
    <col min="3332" max="3332" width="10" style="622" customWidth="1"/>
    <col min="3333" max="3333" width="6.875" style="622" customWidth="1"/>
    <col min="3334" max="3335" width="10" style="622" customWidth="1"/>
    <col min="3336" max="3336" width="6.875" style="622" customWidth="1"/>
    <col min="3337" max="3337" width="10" style="622" customWidth="1"/>
    <col min="3338" max="3339" width="6.875" style="622" customWidth="1"/>
    <col min="3340" max="3341" width="10" style="622" customWidth="1"/>
    <col min="3342" max="3342" width="11.125" style="622" customWidth="1"/>
    <col min="3343" max="3343" width="19.5" style="622" bestFit="1" customWidth="1"/>
    <col min="3344" max="3584" width="9" style="622"/>
    <col min="3585" max="3585" width="2.75" style="622" customWidth="1"/>
    <col min="3586" max="3586" width="50" style="622" customWidth="1"/>
    <col min="3587" max="3587" width="9.75" style="622" customWidth="1"/>
    <col min="3588" max="3588" width="10" style="622" customWidth="1"/>
    <col min="3589" max="3589" width="6.875" style="622" customWidth="1"/>
    <col min="3590" max="3591" width="10" style="622" customWidth="1"/>
    <col min="3592" max="3592" width="6.875" style="622" customWidth="1"/>
    <col min="3593" max="3593" width="10" style="622" customWidth="1"/>
    <col min="3594" max="3595" width="6.875" style="622" customWidth="1"/>
    <col min="3596" max="3597" width="10" style="622" customWidth="1"/>
    <col min="3598" max="3598" width="11.125" style="622" customWidth="1"/>
    <col min="3599" max="3599" width="19.5" style="622" bestFit="1" customWidth="1"/>
    <col min="3600" max="3840" width="9" style="622"/>
    <col min="3841" max="3841" width="2.75" style="622" customWidth="1"/>
    <col min="3842" max="3842" width="50" style="622" customWidth="1"/>
    <col min="3843" max="3843" width="9.75" style="622" customWidth="1"/>
    <col min="3844" max="3844" width="10" style="622" customWidth="1"/>
    <col min="3845" max="3845" width="6.875" style="622" customWidth="1"/>
    <col min="3846" max="3847" width="10" style="622" customWidth="1"/>
    <col min="3848" max="3848" width="6.875" style="622" customWidth="1"/>
    <col min="3849" max="3849" width="10" style="622" customWidth="1"/>
    <col min="3850" max="3851" width="6.875" style="622" customWidth="1"/>
    <col min="3852" max="3853" width="10" style="622" customWidth="1"/>
    <col min="3854" max="3854" width="11.125" style="622" customWidth="1"/>
    <col min="3855" max="3855" width="19.5" style="622" bestFit="1" customWidth="1"/>
    <col min="3856" max="4096" width="9" style="622"/>
    <col min="4097" max="4097" width="2.75" style="622" customWidth="1"/>
    <col min="4098" max="4098" width="50" style="622" customWidth="1"/>
    <col min="4099" max="4099" width="9.75" style="622" customWidth="1"/>
    <col min="4100" max="4100" width="10" style="622" customWidth="1"/>
    <col min="4101" max="4101" width="6.875" style="622" customWidth="1"/>
    <col min="4102" max="4103" width="10" style="622" customWidth="1"/>
    <col min="4104" max="4104" width="6.875" style="622" customWidth="1"/>
    <col min="4105" max="4105" width="10" style="622" customWidth="1"/>
    <col min="4106" max="4107" width="6.875" style="622" customWidth="1"/>
    <col min="4108" max="4109" width="10" style="622" customWidth="1"/>
    <col min="4110" max="4110" width="11.125" style="622" customWidth="1"/>
    <col min="4111" max="4111" width="19.5" style="622" bestFit="1" customWidth="1"/>
    <col min="4112" max="4352" width="9" style="622"/>
    <col min="4353" max="4353" width="2.75" style="622" customWidth="1"/>
    <col min="4354" max="4354" width="50" style="622" customWidth="1"/>
    <col min="4355" max="4355" width="9.75" style="622" customWidth="1"/>
    <col min="4356" max="4356" width="10" style="622" customWidth="1"/>
    <col min="4357" max="4357" width="6.875" style="622" customWidth="1"/>
    <col min="4358" max="4359" width="10" style="622" customWidth="1"/>
    <col min="4360" max="4360" width="6.875" style="622" customWidth="1"/>
    <col min="4361" max="4361" width="10" style="622" customWidth="1"/>
    <col min="4362" max="4363" width="6.875" style="622" customWidth="1"/>
    <col min="4364" max="4365" width="10" style="622" customWidth="1"/>
    <col min="4366" max="4366" width="11.125" style="622" customWidth="1"/>
    <col min="4367" max="4367" width="19.5" style="622" bestFit="1" customWidth="1"/>
    <col min="4368" max="4608" width="9" style="622"/>
    <col min="4609" max="4609" width="2.75" style="622" customWidth="1"/>
    <col min="4610" max="4610" width="50" style="622" customWidth="1"/>
    <col min="4611" max="4611" width="9.75" style="622" customWidth="1"/>
    <col min="4612" max="4612" width="10" style="622" customWidth="1"/>
    <col min="4613" max="4613" width="6.875" style="622" customWidth="1"/>
    <col min="4614" max="4615" width="10" style="622" customWidth="1"/>
    <col min="4616" max="4616" width="6.875" style="622" customWidth="1"/>
    <col min="4617" max="4617" width="10" style="622" customWidth="1"/>
    <col min="4618" max="4619" width="6.875" style="622" customWidth="1"/>
    <col min="4620" max="4621" width="10" style="622" customWidth="1"/>
    <col min="4622" max="4622" width="11.125" style="622" customWidth="1"/>
    <col min="4623" max="4623" width="19.5" style="622" bestFit="1" customWidth="1"/>
    <col min="4624" max="4864" width="9" style="622"/>
    <col min="4865" max="4865" width="2.75" style="622" customWidth="1"/>
    <col min="4866" max="4866" width="50" style="622" customWidth="1"/>
    <col min="4867" max="4867" width="9.75" style="622" customWidth="1"/>
    <col min="4868" max="4868" width="10" style="622" customWidth="1"/>
    <col min="4869" max="4869" width="6.875" style="622" customWidth="1"/>
    <col min="4870" max="4871" width="10" style="622" customWidth="1"/>
    <col min="4872" max="4872" width="6.875" style="622" customWidth="1"/>
    <col min="4873" max="4873" width="10" style="622" customWidth="1"/>
    <col min="4874" max="4875" width="6.875" style="622" customWidth="1"/>
    <col min="4876" max="4877" width="10" style="622" customWidth="1"/>
    <col min="4878" max="4878" width="11.125" style="622" customWidth="1"/>
    <col min="4879" max="4879" width="19.5" style="622" bestFit="1" customWidth="1"/>
    <col min="4880" max="5120" width="9" style="622"/>
    <col min="5121" max="5121" width="2.75" style="622" customWidth="1"/>
    <col min="5122" max="5122" width="50" style="622" customWidth="1"/>
    <col min="5123" max="5123" width="9.75" style="622" customWidth="1"/>
    <col min="5124" max="5124" width="10" style="622" customWidth="1"/>
    <col min="5125" max="5125" width="6.875" style="622" customWidth="1"/>
    <col min="5126" max="5127" width="10" style="622" customWidth="1"/>
    <col min="5128" max="5128" width="6.875" style="622" customWidth="1"/>
    <col min="5129" max="5129" width="10" style="622" customWidth="1"/>
    <col min="5130" max="5131" width="6.875" style="622" customWidth="1"/>
    <col min="5132" max="5133" width="10" style="622" customWidth="1"/>
    <col min="5134" max="5134" width="11.125" style="622" customWidth="1"/>
    <col min="5135" max="5135" width="19.5" style="622" bestFit="1" customWidth="1"/>
    <col min="5136" max="5376" width="9" style="622"/>
    <col min="5377" max="5377" width="2.75" style="622" customWidth="1"/>
    <col min="5378" max="5378" width="50" style="622" customWidth="1"/>
    <col min="5379" max="5379" width="9.75" style="622" customWidth="1"/>
    <col min="5380" max="5380" width="10" style="622" customWidth="1"/>
    <col min="5381" max="5381" width="6.875" style="622" customWidth="1"/>
    <col min="5382" max="5383" width="10" style="622" customWidth="1"/>
    <col min="5384" max="5384" width="6.875" style="622" customWidth="1"/>
    <col min="5385" max="5385" width="10" style="622" customWidth="1"/>
    <col min="5386" max="5387" width="6.875" style="622" customWidth="1"/>
    <col min="5388" max="5389" width="10" style="622" customWidth="1"/>
    <col min="5390" max="5390" width="11.125" style="622" customWidth="1"/>
    <col min="5391" max="5391" width="19.5" style="622" bestFit="1" customWidth="1"/>
    <col min="5392" max="5632" width="9" style="622"/>
    <col min="5633" max="5633" width="2.75" style="622" customWidth="1"/>
    <col min="5634" max="5634" width="50" style="622" customWidth="1"/>
    <col min="5635" max="5635" width="9.75" style="622" customWidth="1"/>
    <col min="5636" max="5636" width="10" style="622" customWidth="1"/>
    <col min="5637" max="5637" width="6.875" style="622" customWidth="1"/>
    <col min="5638" max="5639" width="10" style="622" customWidth="1"/>
    <col min="5640" max="5640" width="6.875" style="622" customWidth="1"/>
    <col min="5641" max="5641" width="10" style="622" customWidth="1"/>
    <col min="5642" max="5643" width="6.875" style="622" customWidth="1"/>
    <col min="5644" max="5645" width="10" style="622" customWidth="1"/>
    <col min="5646" max="5646" width="11.125" style="622" customWidth="1"/>
    <col min="5647" max="5647" width="19.5" style="622" bestFit="1" customWidth="1"/>
    <col min="5648" max="5888" width="9" style="622"/>
    <col min="5889" max="5889" width="2.75" style="622" customWidth="1"/>
    <col min="5890" max="5890" width="50" style="622" customWidth="1"/>
    <col min="5891" max="5891" width="9.75" style="622" customWidth="1"/>
    <col min="5892" max="5892" width="10" style="622" customWidth="1"/>
    <col min="5893" max="5893" width="6.875" style="622" customWidth="1"/>
    <col min="5894" max="5895" width="10" style="622" customWidth="1"/>
    <col min="5896" max="5896" width="6.875" style="622" customWidth="1"/>
    <col min="5897" max="5897" width="10" style="622" customWidth="1"/>
    <col min="5898" max="5899" width="6.875" style="622" customWidth="1"/>
    <col min="5900" max="5901" width="10" style="622" customWidth="1"/>
    <col min="5902" max="5902" width="11.125" style="622" customWidth="1"/>
    <col min="5903" max="5903" width="19.5" style="622" bestFit="1" customWidth="1"/>
    <col min="5904" max="6144" width="9" style="622"/>
    <col min="6145" max="6145" width="2.75" style="622" customWidth="1"/>
    <col min="6146" max="6146" width="50" style="622" customWidth="1"/>
    <col min="6147" max="6147" width="9.75" style="622" customWidth="1"/>
    <col min="6148" max="6148" width="10" style="622" customWidth="1"/>
    <col min="6149" max="6149" width="6.875" style="622" customWidth="1"/>
    <col min="6150" max="6151" width="10" style="622" customWidth="1"/>
    <col min="6152" max="6152" width="6.875" style="622" customWidth="1"/>
    <col min="6153" max="6153" width="10" style="622" customWidth="1"/>
    <col min="6154" max="6155" width="6.875" style="622" customWidth="1"/>
    <col min="6156" max="6157" width="10" style="622" customWidth="1"/>
    <col min="6158" max="6158" width="11.125" style="622" customWidth="1"/>
    <col min="6159" max="6159" width="19.5" style="622" bestFit="1" customWidth="1"/>
    <col min="6160" max="6400" width="9" style="622"/>
    <col min="6401" max="6401" width="2.75" style="622" customWidth="1"/>
    <col min="6402" max="6402" width="50" style="622" customWidth="1"/>
    <col min="6403" max="6403" width="9.75" style="622" customWidth="1"/>
    <col min="6404" max="6404" width="10" style="622" customWidth="1"/>
    <col min="6405" max="6405" width="6.875" style="622" customWidth="1"/>
    <col min="6406" max="6407" width="10" style="622" customWidth="1"/>
    <col min="6408" max="6408" width="6.875" style="622" customWidth="1"/>
    <col min="6409" max="6409" width="10" style="622" customWidth="1"/>
    <col min="6410" max="6411" width="6.875" style="622" customWidth="1"/>
    <col min="6412" max="6413" width="10" style="622" customWidth="1"/>
    <col min="6414" max="6414" width="11.125" style="622" customWidth="1"/>
    <col min="6415" max="6415" width="19.5" style="622" bestFit="1" customWidth="1"/>
    <col min="6416" max="6656" width="9" style="622"/>
    <col min="6657" max="6657" width="2.75" style="622" customWidth="1"/>
    <col min="6658" max="6658" width="50" style="622" customWidth="1"/>
    <col min="6659" max="6659" width="9.75" style="622" customWidth="1"/>
    <col min="6660" max="6660" width="10" style="622" customWidth="1"/>
    <col min="6661" max="6661" width="6.875" style="622" customWidth="1"/>
    <col min="6662" max="6663" width="10" style="622" customWidth="1"/>
    <col min="6664" max="6664" width="6.875" style="622" customWidth="1"/>
    <col min="6665" max="6665" width="10" style="622" customWidth="1"/>
    <col min="6666" max="6667" width="6.875" style="622" customWidth="1"/>
    <col min="6668" max="6669" width="10" style="622" customWidth="1"/>
    <col min="6670" max="6670" width="11.125" style="622" customWidth="1"/>
    <col min="6671" max="6671" width="19.5" style="622" bestFit="1" customWidth="1"/>
    <col min="6672" max="6912" width="9" style="622"/>
    <col min="6913" max="6913" width="2.75" style="622" customWidth="1"/>
    <col min="6914" max="6914" width="50" style="622" customWidth="1"/>
    <col min="6915" max="6915" width="9.75" style="622" customWidth="1"/>
    <col min="6916" max="6916" width="10" style="622" customWidth="1"/>
    <col min="6917" max="6917" width="6.875" style="622" customWidth="1"/>
    <col min="6918" max="6919" width="10" style="622" customWidth="1"/>
    <col min="6920" max="6920" width="6.875" style="622" customWidth="1"/>
    <col min="6921" max="6921" width="10" style="622" customWidth="1"/>
    <col min="6922" max="6923" width="6.875" style="622" customWidth="1"/>
    <col min="6924" max="6925" width="10" style="622" customWidth="1"/>
    <col min="6926" max="6926" width="11.125" style="622" customWidth="1"/>
    <col min="6927" max="6927" width="19.5" style="622" bestFit="1" customWidth="1"/>
    <col min="6928" max="7168" width="9" style="622"/>
    <col min="7169" max="7169" width="2.75" style="622" customWidth="1"/>
    <col min="7170" max="7170" width="50" style="622" customWidth="1"/>
    <col min="7171" max="7171" width="9.75" style="622" customWidth="1"/>
    <col min="7172" max="7172" width="10" style="622" customWidth="1"/>
    <col min="7173" max="7173" width="6.875" style="622" customWidth="1"/>
    <col min="7174" max="7175" width="10" style="622" customWidth="1"/>
    <col min="7176" max="7176" width="6.875" style="622" customWidth="1"/>
    <col min="7177" max="7177" width="10" style="622" customWidth="1"/>
    <col min="7178" max="7179" width="6.875" style="622" customWidth="1"/>
    <col min="7180" max="7181" width="10" style="622" customWidth="1"/>
    <col min="7182" max="7182" width="11.125" style="622" customWidth="1"/>
    <col min="7183" max="7183" width="19.5" style="622" bestFit="1" customWidth="1"/>
    <col min="7184" max="7424" width="9" style="622"/>
    <col min="7425" max="7425" width="2.75" style="622" customWidth="1"/>
    <col min="7426" max="7426" width="50" style="622" customWidth="1"/>
    <col min="7427" max="7427" width="9.75" style="622" customWidth="1"/>
    <col min="7428" max="7428" width="10" style="622" customWidth="1"/>
    <col min="7429" max="7429" width="6.875" style="622" customWidth="1"/>
    <col min="7430" max="7431" width="10" style="622" customWidth="1"/>
    <col min="7432" max="7432" width="6.875" style="622" customWidth="1"/>
    <col min="7433" max="7433" width="10" style="622" customWidth="1"/>
    <col min="7434" max="7435" width="6.875" style="622" customWidth="1"/>
    <col min="7436" max="7437" width="10" style="622" customWidth="1"/>
    <col min="7438" max="7438" width="11.125" style="622" customWidth="1"/>
    <col min="7439" max="7439" width="19.5" style="622" bestFit="1" customWidth="1"/>
    <col min="7440" max="7680" width="9" style="622"/>
    <col min="7681" max="7681" width="2.75" style="622" customWidth="1"/>
    <col min="7682" max="7682" width="50" style="622" customWidth="1"/>
    <col min="7683" max="7683" width="9.75" style="622" customWidth="1"/>
    <col min="7684" max="7684" width="10" style="622" customWidth="1"/>
    <col min="7685" max="7685" width="6.875" style="622" customWidth="1"/>
    <col min="7686" max="7687" width="10" style="622" customWidth="1"/>
    <col min="7688" max="7688" width="6.875" style="622" customWidth="1"/>
    <col min="7689" max="7689" width="10" style="622" customWidth="1"/>
    <col min="7690" max="7691" width="6.875" style="622" customWidth="1"/>
    <col min="7692" max="7693" width="10" style="622" customWidth="1"/>
    <col min="7694" max="7694" width="11.125" style="622" customWidth="1"/>
    <col min="7695" max="7695" width="19.5" style="622" bestFit="1" customWidth="1"/>
    <col min="7696" max="7936" width="9" style="622"/>
    <col min="7937" max="7937" width="2.75" style="622" customWidth="1"/>
    <col min="7938" max="7938" width="50" style="622" customWidth="1"/>
    <col min="7939" max="7939" width="9.75" style="622" customWidth="1"/>
    <col min="7940" max="7940" width="10" style="622" customWidth="1"/>
    <col min="7941" max="7941" width="6.875" style="622" customWidth="1"/>
    <col min="7942" max="7943" width="10" style="622" customWidth="1"/>
    <col min="7944" max="7944" width="6.875" style="622" customWidth="1"/>
    <col min="7945" max="7945" width="10" style="622" customWidth="1"/>
    <col min="7946" max="7947" width="6.875" style="622" customWidth="1"/>
    <col min="7948" max="7949" width="10" style="622" customWidth="1"/>
    <col min="7950" max="7950" width="11.125" style="622" customWidth="1"/>
    <col min="7951" max="7951" width="19.5" style="622" bestFit="1" customWidth="1"/>
    <col min="7952" max="8192" width="9" style="622"/>
    <col min="8193" max="8193" width="2.75" style="622" customWidth="1"/>
    <col min="8194" max="8194" width="50" style="622" customWidth="1"/>
    <col min="8195" max="8195" width="9.75" style="622" customWidth="1"/>
    <col min="8196" max="8196" width="10" style="622" customWidth="1"/>
    <col min="8197" max="8197" width="6.875" style="622" customWidth="1"/>
    <col min="8198" max="8199" width="10" style="622" customWidth="1"/>
    <col min="8200" max="8200" width="6.875" style="622" customWidth="1"/>
    <col min="8201" max="8201" width="10" style="622" customWidth="1"/>
    <col min="8202" max="8203" width="6.875" style="622" customWidth="1"/>
    <col min="8204" max="8205" width="10" style="622" customWidth="1"/>
    <col min="8206" max="8206" width="11.125" style="622" customWidth="1"/>
    <col min="8207" max="8207" width="19.5" style="622" bestFit="1" customWidth="1"/>
    <col min="8208" max="8448" width="9" style="622"/>
    <col min="8449" max="8449" width="2.75" style="622" customWidth="1"/>
    <col min="8450" max="8450" width="50" style="622" customWidth="1"/>
    <col min="8451" max="8451" width="9.75" style="622" customWidth="1"/>
    <col min="8452" max="8452" width="10" style="622" customWidth="1"/>
    <col min="8453" max="8453" width="6.875" style="622" customWidth="1"/>
    <col min="8454" max="8455" width="10" style="622" customWidth="1"/>
    <col min="8456" max="8456" width="6.875" style="622" customWidth="1"/>
    <col min="8457" max="8457" width="10" style="622" customWidth="1"/>
    <col min="8458" max="8459" width="6.875" style="622" customWidth="1"/>
    <col min="8460" max="8461" width="10" style="622" customWidth="1"/>
    <col min="8462" max="8462" width="11.125" style="622" customWidth="1"/>
    <col min="8463" max="8463" width="19.5" style="622" bestFit="1" customWidth="1"/>
    <col min="8464" max="8704" width="9" style="622"/>
    <col min="8705" max="8705" width="2.75" style="622" customWidth="1"/>
    <col min="8706" max="8706" width="50" style="622" customWidth="1"/>
    <col min="8707" max="8707" width="9.75" style="622" customWidth="1"/>
    <col min="8708" max="8708" width="10" style="622" customWidth="1"/>
    <col min="8709" max="8709" width="6.875" style="622" customWidth="1"/>
    <col min="8710" max="8711" width="10" style="622" customWidth="1"/>
    <col min="8712" max="8712" width="6.875" style="622" customWidth="1"/>
    <col min="8713" max="8713" width="10" style="622" customWidth="1"/>
    <col min="8714" max="8715" width="6.875" style="622" customWidth="1"/>
    <col min="8716" max="8717" width="10" style="622" customWidth="1"/>
    <col min="8718" max="8718" width="11.125" style="622" customWidth="1"/>
    <col min="8719" max="8719" width="19.5" style="622" bestFit="1" customWidth="1"/>
    <col min="8720" max="8960" width="9" style="622"/>
    <col min="8961" max="8961" width="2.75" style="622" customWidth="1"/>
    <col min="8962" max="8962" width="50" style="622" customWidth="1"/>
    <col min="8963" max="8963" width="9.75" style="622" customWidth="1"/>
    <col min="8964" max="8964" width="10" style="622" customWidth="1"/>
    <col min="8965" max="8965" width="6.875" style="622" customWidth="1"/>
    <col min="8966" max="8967" width="10" style="622" customWidth="1"/>
    <col min="8968" max="8968" width="6.875" style="622" customWidth="1"/>
    <col min="8969" max="8969" width="10" style="622" customWidth="1"/>
    <col min="8970" max="8971" width="6.875" style="622" customWidth="1"/>
    <col min="8972" max="8973" width="10" style="622" customWidth="1"/>
    <col min="8974" max="8974" width="11.125" style="622" customWidth="1"/>
    <col min="8975" max="8975" width="19.5" style="622" bestFit="1" customWidth="1"/>
    <col min="8976" max="9216" width="9" style="622"/>
    <col min="9217" max="9217" width="2.75" style="622" customWidth="1"/>
    <col min="9218" max="9218" width="50" style="622" customWidth="1"/>
    <col min="9219" max="9219" width="9.75" style="622" customWidth="1"/>
    <col min="9220" max="9220" width="10" style="622" customWidth="1"/>
    <col min="9221" max="9221" width="6.875" style="622" customWidth="1"/>
    <col min="9222" max="9223" width="10" style="622" customWidth="1"/>
    <col min="9224" max="9224" width="6.875" style="622" customWidth="1"/>
    <col min="9225" max="9225" width="10" style="622" customWidth="1"/>
    <col min="9226" max="9227" width="6.875" style="622" customWidth="1"/>
    <col min="9228" max="9229" width="10" style="622" customWidth="1"/>
    <col min="9230" max="9230" width="11.125" style="622" customWidth="1"/>
    <col min="9231" max="9231" width="19.5" style="622" bestFit="1" customWidth="1"/>
    <col min="9232" max="9472" width="9" style="622"/>
    <col min="9473" max="9473" width="2.75" style="622" customWidth="1"/>
    <col min="9474" max="9474" width="50" style="622" customWidth="1"/>
    <col min="9475" max="9475" width="9.75" style="622" customWidth="1"/>
    <col min="9476" max="9476" width="10" style="622" customWidth="1"/>
    <col min="9477" max="9477" width="6.875" style="622" customWidth="1"/>
    <col min="9478" max="9479" width="10" style="622" customWidth="1"/>
    <col min="9480" max="9480" width="6.875" style="622" customWidth="1"/>
    <col min="9481" max="9481" width="10" style="622" customWidth="1"/>
    <col min="9482" max="9483" width="6.875" style="622" customWidth="1"/>
    <col min="9484" max="9485" width="10" style="622" customWidth="1"/>
    <col min="9486" max="9486" width="11.125" style="622" customWidth="1"/>
    <col min="9487" max="9487" width="19.5" style="622" bestFit="1" customWidth="1"/>
    <col min="9488" max="9728" width="9" style="622"/>
    <col min="9729" max="9729" width="2.75" style="622" customWidth="1"/>
    <col min="9730" max="9730" width="50" style="622" customWidth="1"/>
    <col min="9731" max="9731" width="9.75" style="622" customWidth="1"/>
    <col min="9732" max="9732" width="10" style="622" customWidth="1"/>
    <col min="9733" max="9733" width="6.875" style="622" customWidth="1"/>
    <col min="9734" max="9735" width="10" style="622" customWidth="1"/>
    <col min="9736" max="9736" width="6.875" style="622" customWidth="1"/>
    <col min="9737" max="9737" width="10" style="622" customWidth="1"/>
    <col min="9738" max="9739" width="6.875" style="622" customWidth="1"/>
    <col min="9740" max="9741" width="10" style="622" customWidth="1"/>
    <col min="9742" max="9742" width="11.125" style="622" customWidth="1"/>
    <col min="9743" max="9743" width="19.5" style="622" bestFit="1" customWidth="1"/>
    <col min="9744" max="9984" width="9" style="622"/>
    <col min="9985" max="9985" width="2.75" style="622" customWidth="1"/>
    <col min="9986" max="9986" width="50" style="622" customWidth="1"/>
    <col min="9987" max="9987" width="9.75" style="622" customWidth="1"/>
    <col min="9988" max="9988" width="10" style="622" customWidth="1"/>
    <col min="9989" max="9989" width="6.875" style="622" customWidth="1"/>
    <col min="9990" max="9991" width="10" style="622" customWidth="1"/>
    <col min="9992" max="9992" width="6.875" style="622" customWidth="1"/>
    <col min="9993" max="9993" width="10" style="622" customWidth="1"/>
    <col min="9994" max="9995" width="6.875" style="622" customWidth="1"/>
    <col min="9996" max="9997" width="10" style="622" customWidth="1"/>
    <col min="9998" max="9998" width="11.125" style="622" customWidth="1"/>
    <col min="9999" max="9999" width="19.5" style="622" bestFit="1" customWidth="1"/>
    <col min="10000" max="10240" width="9" style="622"/>
    <col min="10241" max="10241" width="2.75" style="622" customWidth="1"/>
    <col min="10242" max="10242" width="50" style="622" customWidth="1"/>
    <col min="10243" max="10243" width="9.75" style="622" customWidth="1"/>
    <col min="10244" max="10244" width="10" style="622" customWidth="1"/>
    <col min="10245" max="10245" width="6.875" style="622" customWidth="1"/>
    <col min="10246" max="10247" width="10" style="622" customWidth="1"/>
    <col min="10248" max="10248" width="6.875" style="622" customWidth="1"/>
    <col min="10249" max="10249" width="10" style="622" customWidth="1"/>
    <col min="10250" max="10251" width="6.875" style="622" customWidth="1"/>
    <col min="10252" max="10253" width="10" style="622" customWidth="1"/>
    <col min="10254" max="10254" width="11.125" style="622" customWidth="1"/>
    <col min="10255" max="10255" width="19.5" style="622" bestFit="1" customWidth="1"/>
    <col min="10256" max="10496" width="9" style="622"/>
    <col min="10497" max="10497" width="2.75" style="622" customWidth="1"/>
    <col min="10498" max="10498" width="50" style="622" customWidth="1"/>
    <col min="10499" max="10499" width="9.75" style="622" customWidth="1"/>
    <col min="10500" max="10500" width="10" style="622" customWidth="1"/>
    <col min="10501" max="10501" width="6.875" style="622" customWidth="1"/>
    <col min="10502" max="10503" width="10" style="622" customWidth="1"/>
    <col min="10504" max="10504" width="6.875" style="622" customWidth="1"/>
    <col min="10505" max="10505" width="10" style="622" customWidth="1"/>
    <col min="10506" max="10507" width="6.875" style="622" customWidth="1"/>
    <col min="10508" max="10509" width="10" style="622" customWidth="1"/>
    <col min="10510" max="10510" width="11.125" style="622" customWidth="1"/>
    <col min="10511" max="10511" width="19.5" style="622" bestFit="1" customWidth="1"/>
    <col min="10512" max="10752" width="9" style="622"/>
    <col min="10753" max="10753" width="2.75" style="622" customWidth="1"/>
    <col min="10754" max="10754" width="50" style="622" customWidth="1"/>
    <col min="10755" max="10755" width="9.75" style="622" customWidth="1"/>
    <col min="10756" max="10756" width="10" style="622" customWidth="1"/>
    <col min="10757" max="10757" width="6.875" style="622" customWidth="1"/>
    <col min="10758" max="10759" width="10" style="622" customWidth="1"/>
    <col min="10760" max="10760" width="6.875" style="622" customWidth="1"/>
    <col min="10761" max="10761" width="10" style="622" customWidth="1"/>
    <col min="10762" max="10763" width="6.875" style="622" customWidth="1"/>
    <col min="10764" max="10765" width="10" style="622" customWidth="1"/>
    <col min="10766" max="10766" width="11.125" style="622" customWidth="1"/>
    <col min="10767" max="10767" width="19.5" style="622" bestFit="1" customWidth="1"/>
    <col min="10768" max="11008" width="9" style="622"/>
    <col min="11009" max="11009" width="2.75" style="622" customWidth="1"/>
    <col min="11010" max="11010" width="50" style="622" customWidth="1"/>
    <col min="11011" max="11011" width="9.75" style="622" customWidth="1"/>
    <col min="11012" max="11012" width="10" style="622" customWidth="1"/>
    <col min="11013" max="11013" width="6.875" style="622" customWidth="1"/>
    <col min="11014" max="11015" width="10" style="622" customWidth="1"/>
    <col min="11016" max="11016" width="6.875" style="622" customWidth="1"/>
    <col min="11017" max="11017" width="10" style="622" customWidth="1"/>
    <col min="11018" max="11019" width="6.875" style="622" customWidth="1"/>
    <col min="11020" max="11021" width="10" style="622" customWidth="1"/>
    <col min="11022" max="11022" width="11.125" style="622" customWidth="1"/>
    <col min="11023" max="11023" width="19.5" style="622" bestFit="1" customWidth="1"/>
    <col min="11024" max="11264" width="9" style="622"/>
    <col min="11265" max="11265" width="2.75" style="622" customWidth="1"/>
    <col min="11266" max="11266" width="50" style="622" customWidth="1"/>
    <col min="11267" max="11267" width="9.75" style="622" customWidth="1"/>
    <col min="11268" max="11268" width="10" style="622" customWidth="1"/>
    <col min="11269" max="11269" width="6.875" style="622" customWidth="1"/>
    <col min="11270" max="11271" width="10" style="622" customWidth="1"/>
    <col min="11272" max="11272" width="6.875" style="622" customWidth="1"/>
    <col min="11273" max="11273" width="10" style="622" customWidth="1"/>
    <col min="11274" max="11275" width="6.875" style="622" customWidth="1"/>
    <col min="11276" max="11277" width="10" style="622" customWidth="1"/>
    <col min="11278" max="11278" width="11.125" style="622" customWidth="1"/>
    <col min="11279" max="11279" width="19.5" style="622" bestFit="1" customWidth="1"/>
    <col min="11280" max="11520" width="9" style="622"/>
    <col min="11521" max="11521" width="2.75" style="622" customWidth="1"/>
    <col min="11522" max="11522" width="50" style="622" customWidth="1"/>
    <col min="11523" max="11523" width="9.75" style="622" customWidth="1"/>
    <col min="11524" max="11524" width="10" style="622" customWidth="1"/>
    <col min="11525" max="11525" width="6.875" style="622" customWidth="1"/>
    <col min="11526" max="11527" width="10" style="622" customWidth="1"/>
    <col min="11528" max="11528" width="6.875" style="622" customWidth="1"/>
    <col min="11529" max="11529" width="10" style="622" customWidth="1"/>
    <col min="11530" max="11531" width="6.875" style="622" customWidth="1"/>
    <col min="11532" max="11533" width="10" style="622" customWidth="1"/>
    <col min="11534" max="11534" width="11.125" style="622" customWidth="1"/>
    <col min="11535" max="11535" width="19.5" style="622" bestFit="1" customWidth="1"/>
    <col min="11536" max="11776" width="9" style="622"/>
    <col min="11777" max="11777" width="2.75" style="622" customWidth="1"/>
    <col min="11778" max="11778" width="50" style="622" customWidth="1"/>
    <col min="11779" max="11779" width="9.75" style="622" customWidth="1"/>
    <col min="11780" max="11780" width="10" style="622" customWidth="1"/>
    <col min="11781" max="11781" width="6.875" style="622" customWidth="1"/>
    <col min="11782" max="11783" width="10" style="622" customWidth="1"/>
    <col min="11784" max="11784" width="6.875" style="622" customWidth="1"/>
    <col min="11785" max="11785" width="10" style="622" customWidth="1"/>
    <col min="11786" max="11787" width="6.875" style="622" customWidth="1"/>
    <col min="11788" max="11789" width="10" style="622" customWidth="1"/>
    <col min="11790" max="11790" width="11.125" style="622" customWidth="1"/>
    <col min="11791" max="11791" width="19.5" style="622" bestFit="1" customWidth="1"/>
    <col min="11792" max="12032" width="9" style="622"/>
    <col min="12033" max="12033" width="2.75" style="622" customWidth="1"/>
    <col min="12034" max="12034" width="50" style="622" customWidth="1"/>
    <col min="12035" max="12035" width="9.75" style="622" customWidth="1"/>
    <col min="12036" max="12036" width="10" style="622" customWidth="1"/>
    <col min="12037" max="12037" width="6.875" style="622" customWidth="1"/>
    <col min="12038" max="12039" width="10" style="622" customWidth="1"/>
    <col min="12040" max="12040" width="6.875" style="622" customWidth="1"/>
    <col min="12041" max="12041" width="10" style="622" customWidth="1"/>
    <col min="12042" max="12043" width="6.875" style="622" customWidth="1"/>
    <col min="12044" max="12045" width="10" style="622" customWidth="1"/>
    <col min="12046" max="12046" width="11.125" style="622" customWidth="1"/>
    <col min="12047" max="12047" width="19.5" style="622" bestFit="1" customWidth="1"/>
    <col min="12048" max="12288" width="9" style="622"/>
    <col min="12289" max="12289" width="2.75" style="622" customWidth="1"/>
    <col min="12290" max="12290" width="50" style="622" customWidth="1"/>
    <col min="12291" max="12291" width="9.75" style="622" customWidth="1"/>
    <col min="12292" max="12292" width="10" style="622" customWidth="1"/>
    <col min="12293" max="12293" width="6.875" style="622" customWidth="1"/>
    <col min="12294" max="12295" width="10" style="622" customWidth="1"/>
    <col min="12296" max="12296" width="6.875" style="622" customWidth="1"/>
    <col min="12297" max="12297" width="10" style="622" customWidth="1"/>
    <col min="12298" max="12299" width="6.875" style="622" customWidth="1"/>
    <col min="12300" max="12301" width="10" style="622" customWidth="1"/>
    <col min="12302" max="12302" width="11.125" style="622" customWidth="1"/>
    <col min="12303" max="12303" width="19.5" style="622" bestFit="1" customWidth="1"/>
    <col min="12304" max="12544" width="9" style="622"/>
    <col min="12545" max="12545" width="2.75" style="622" customWidth="1"/>
    <col min="12546" max="12546" width="50" style="622" customWidth="1"/>
    <col min="12547" max="12547" width="9.75" style="622" customWidth="1"/>
    <col min="12548" max="12548" width="10" style="622" customWidth="1"/>
    <col min="12549" max="12549" width="6.875" style="622" customWidth="1"/>
    <col min="12550" max="12551" width="10" style="622" customWidth="1"/>
    <col min="12552" max="12552" width="6.875" style="622" customWidth="1"/>
    <col min="12553" max="12553" width="10" style="622" customWidth="1"/>
    <col min="12554" max="12555" width="6.875" style="622" customWidth="1"/>
    <col min="12556" max="12557" width="10" style="622" customWidth="1"/>
    <col min="12558" max="12558" width="11.125" style="622" customWidth="1"/>
    <col min="12559" max="12559" width="19.5" style="622" bestFit="1" customWidth="1"/>
    <col min="12560" max="12800" width="9" style="622"/>
    <col min="12801" max="12801" width="2.75" style="622" customWidth="1"/>
    <col min="12802" max="12802" width="50" style="622" customWidth="1"/>
    <col min="12803" max="12803" width="9.75" style="622" customWidth="1"/>
    <col min="12804" max="12804" width="10" style="622" customWidth="1"/>
    <col min="12805" max="12805" width="6.875" style="622" customWidth="1"/>
    <col min="12806" max="12807" width="10" style="622" customWidth="1"/>
    <col min="12808" max="12808" width="6.875" style="622" customWidth="1"/>
    <col min="12809" max="12809" width="10" style="622" customWidth="1"/>
    <col min="12810" max="12811" width="6.875" style="622" customWidth="1"/>
    <col min="12812" max="12813" width="10" style="622" customWidth="1"/>
    <col min="12814" max="12814" width="11.125" style="622" customWidth="1"/>
    <col min="12815" max="12815" width="19.5" style="622" bestFit="1" customWidth="1"/>
    <col min="12816" max="13056" width="9" style="622"/>
    <col min="13057" max="13057" width="2.75" style="622" customWidth="1"/>
    <col min="13058" max="13058" width="50" style="622" customWidth="1"/>
    <col min="13059" max="13059" width="9.75" style="622" customWidth="1"/>
    <col min="13060" max="13060" width="10" style="622" customWidth="1"/>
    <col min="13061" max="13061" width="6.875" style="622" customWidth="1"/>
    <col min="13062" max="13063" width="10" style="622" customWidth="1"/>
    <col min="13064" max="13064" width="6.875" style="622" customWidth="1"/>
    <col min="13065" max="13065" width="10" style="622" customWidth="1"/>
    <col min="13066" max="13067" width="6.875" style="622" customWidth="1"/>
    <col min="13068" max="13069" width="10" style="622" customWidth="1"/>
    <col min="13070" max="13070" width="11.125" style="622" customWidth="1"/>
    <col min="13071" max="13071" width="19.5" style="622" bestFit="1" customWidth="1"/>
    <col min="13072" max="13312" width="9" style="622"/>
    <col min="13313" max="13313" width="2.75" style="622" customWidth="1"/>
    <col min="13314" max="13314" width="50" style="622" customWidth="1"/>
    <col min="13315" max="13315" width="9.75" style="622" customWidth="1"/>
    <col min="13316" max="13316" width="10" style="622" customWidth="1"/>
    <col min="13317" max="13317" width="6.875" style="622" customWidth="1"/>
    <col min="13318" max="13319" width="10" style="622" customWidth="1"/>
    <col min="13320" max="13320" width="6.875" style="622" customWidth="1"/>
    <col min="13321" max="13321" width="10" style="622" customWidth="1"/>
    <col min="13322" max="13323" width="6.875" style="622" customWidth="1"/>
    <col min="13324" max="13325" width="10" style="622" customWidth="1"/>
    <col min="13326" max="13326" width="11.125" style="622" customWidth="1"/>
    <col min="13327" max="13327" width="19.5" style="622" bestFit="1" customWidth="1"/>
    <col min="13328" max="13568" width="9" style="622"/>
    <col min="13569" max="13569" width="2.75" style="622" customWidth="1"/>
    <col min="13570" max="13570" width="50" style="622" customWidth="1"/>
    <col min="13571" max="13571" width="9.75" style="622" customWidth="1"/>
    <col min="13572" max="13572" width="10" style="622" customWidth="1"/>
    <col min="13573" max="13573" width="6.875" style="622" customWidth="1"/>
    <col min="13574" max="13575" width="10" style="622" customWidth="1"/>
    <col min="13576" max="13576" width="6.875" style="622" customWidth="1"/>
    <col min="13577" max="13577" width="10" style="622" customWidth="1"/>
    <col min="13578" max="13579" width="6.875" style="622" customWidth="1"/>
    <col min="13580" max="13581" width="10" style="622" customWidth="1"/>
    <col min="13582" max="13582" width="11.125" style="622" customWidth="1"/>
    <col min="13583" max="13583" width="19.5" style="622" bestFit="1" customWidth="1"/>
    <col min="13584" max="13824" width="9" style="622"/>
    <col min="13825" max="13825" width="2.75" style="622" customWidth="1"/>
    <col min="13826" max="13826" width="50" style="622" customWidth="1"/>
    <col min="13827" max="13827" width="9.75" style="622" customWidth="1"/>
    <col min="13828" max="13828" width="10" style="622" customWidth="1"/>
    <col min="13829" max="13829" width="6.875" style="622" customWidth="1"/>
    <col min="13830" max="13831" width="10" style="622" customWidth="1"/>
    <col min="13832" max="13832" width="6.875" style="622" customWidth="1"/>
    <col min="13833" max="13833" width="10" style="622" customWidth="1"/>
    <col min="13834" max="13835" width="6.875" style="622" customWidth="1"/>
    <col min="13836" max="13837" width="10" style="622" customWidth="1"/>
    <col min="13838" max="13838" width="11.125" style="622" customWidth="1"/>
    <col min="13839" max="13839" width="19.5" style="622" bestFit="1" customWidth="1"/>
    <col min="13840" max="14080" width="9" style="622"/>
    <col min="14081" max="14081" width="2.75" style="622" customWidth="1"/>
    <col min="14082" max="14082" width="50" style="622" customWidth="1"/>
    <col min="14083" max="14083" width="9.75" style="622" customWidth="1"/>
    <col min="14084" max="14084" width="10" style="622" customWidth="1"/>
    <col min="14085" max="14085" width="6.875" style="622" customWidth="1"/>
    <col min="14086" max="14087" width="10" style="622" customWidth="1"/>
    <col min="14088" max="14088" width="6.875" style="622" customWidth="1"/>
    <col min="14089" max="14089" width="10" style="622" customWidth="1"/>
    <col min="14090" max="14091" width="6.875" style="622" customWidth="1"/>
    <col min="14092" max="14093" width="10" style="622" customWidth="1"/>
    <col min="14094" max="14094" width="11.125" style="622" customWidth="1"/>
    <col min="14095" max="14095" width="19.5" style="622" bestFit="1" customWidth="1"/>
    <col min="14096" max="14336" width="9" style="622"/>
    <col min="14337" max="14337" width="2.75" style="622" customWidth="1"/>
    <col min="14338" max="14338" width="50" style="622" customWidth="1"/>
    <col min="14339" max="14339" width="9.75" style="622" customWidth="1"/>
    <col min="14340" max="14340" width="10" style="622" customWidth="1"/>
    <col min="14341" max="14341" width="6.875" style="622" customWidth="1"/>
    <col min="14342" max="14343" width="10" style="622" customWidth="1"/>
    <col min="14344" max="14344" width="6.875" style="622" customWidth="1"/>
    <col min="14345" max="14345" width="10" style="622" customWidth="1"/>
    <col min="14346" max="14347" width="6.875" style="622" customWidth="1"/>
    <col min="14348" max="14349" width="10" style="622" customWidth="1"/>
    <col min="14350" max="14350" width="11.125" style="622" customWidth="1"/>
    <col min="14351" max="14351" width="19.5" style="622" bestFit="1" customWidth="1"/>
    <col min="14352" max="14592" width="9" style="622"/>
    <col min="14593" max="14593" width="2.75" style="622" customWidth="1"/>
    <col min="14594" max="14594" width="50" style="622" customWidth="1"/>
    <col min="14595" max="14595" width="9.75" style="622" customWidth="1"/>
    <col min="14596" max="14596" width="10" style="622" customWidth="1"/>
    <col min="14597" max="14597" width="6.875" style="622" customWidth="1"/>
    <col min="14598" max="14599" width="10" style="622" customWidth="1"/>
    <col min="14600" max="14600" width="6.875" style="622" customWidth="1"/>
    <col min="14601" max="14601" width="10" style="622" customWidth="1"/>
    <col min="14602" max="14603" width="6.875" style="622" customWidth="1"/>
    <col min="14604" max="14605" width="10" style="622" customWidth="1"/>
    <col min="14606" max="14606" width="11.125" style="622" customWidth="1"/>
    <col min="14607" max="14607" width="19.5" style="622" bestFit="1" customWidth="1"/>
    <col min="14608" max="14848" width="9" style="622"/>
    <col min="14849" max="14849" width="2.75" style="622" customWidth="1"/>
    <col min="14850" max="14850" width="50" style="622" customWidth="1"/>
    <col min="14851" max="14851" width="9.75" style="622" customWidth="1"/>
    <col min="14852" max="14852" width="10" style="622" customWidth="1"/>
    <col min="14853" max="14853" width="6.875" style="622" customWidth="1"/>
    <col min="14854" max="14855" width="10" style="622" customWidth="1"/>
    <col min="14856" max="14856" width="6.875" style="622" customWidth="1"/>
    <col min="14857" max="14857" width="10" style="622" customWidth="1"/>
    <col min="14858" max="14859" width="6.875" style="622" customWidth="1"/>
    <col min="14860" max="14861" width="10" style="622" customWidth="1"/>
    <col min="14862" max="14862" width="11.125" style="622" customWidth="1"/>
    <col min="14863" max="14863" width="19.5" style="622" bestFit="1" customWidth="1"/>
    <col min="14864" max="15104" width="9" style="622"/>
    <col min="15105" max="15105" width="2.75" style="622" customWidth="1"/>
    <col min="15106" max="15106" width="50" style="622" customWidth="1"/>
    <col min="15107" max="15107" width="9.75" style="622" customWidth="1"/>
    <col min="15108" max="15108" width="10" style="622" customWidth="1"/>
    <col min="15109" max="15109" width="6.875" style="622" customWidth="1"/>
    <col min="15110" max="15111" width="10" style="622" customWidth="1"/>
    <col min="15112" max="15112" width="6.875" style="622" customWidth="1"/>
    <col min="15113" max="15113" width="10" style="622" customWidth="1"/>
    <col min="15114" max="15115" width="6.875" style="622" customWidth="1"/>
    <col min="15116" max="15117" width="10" style="622" customWidth="1"/>
    <col min="15118" max="15118" width="11.125" style="622" customWidth="1"/>
    <col min="15119" max="15119" width="19.5" style="622" bestFit="1" customWidth="1"/>
    <col min="15120" max="15360" width="9" style="622"/>
    <col min="15361" max="15361" width="2.75" style="622" customWidth="1"/>
    <col min="15362" max="15362" width="50" style="622" customWidth="1"/>
    <col min="15363" max="15363" width="9.75" style="622" customWidth="1"/>
    <col min="15364" max="15364" width="10" style="622" customWidth="1"/>
    <col min="15365" max="15365" width="6.875" style="622" customWidth="1"/>
    <col min="15366" max="15367" width="10" style="622" customWidth="1"/>
    <col min="15368" max="15368" width="6.875" style="622" customWidth="1"/>
    <col min="15369" max="15369" width="10" style="622" customWidth="1"/>
    <col min="15370" max="15371" width="6.875" style="622" customWidth="1"/>
    <col min="15372" max="15373" width="10" style="622" customWidth="1"/>
    <col min="15374" max="15374" width="11.125" style="622" customWidth="1"/>
    <col min="15375" max="15375" width="19.5" style="622" bestFit="1" customWidth="1"/>
    <col min="15376" max="15616" width="9" style="622"/>
    <col min="15617" max="15617" width="2.75" style="622" customWidth="1"/>
    <col min="15618" max="15618" width="50" style="622" customWidth="1"/>
    <col min="15619" max="15619" width="9.75" style="622" customWidth="1"/>
    <col min="15620" max="15620" width="10" style="622" customWidth="1"/>
    <col min="15621" max="15621" width="6.875" style="622" customWidth="1"/>
    <col min="15622" max="15623" width="10" style="622" customWidth="1"/>
    <col min="15624" max="15624" width="6.875" style="622" customWidth="1"/>
    <col min="15625" max="15625" width="10" style="622" customWidth="1"/>
    <col min="15626" max="15627" width="6.875" style="622" customWidth="1"/>
    <col min="15628" max="15629" width="10" style="622" customWidth="1"/>
    <col min="15630" max="15630" width="11.125" style="622" customWidth="1"/>
    <col min="15631" max="15631" width="19.5" style="622" bestFit="1" customWidth="1"/>
    <col min="15632" max="15872" width="9" style="622"/>
    <col min="15873" max="15873" width="2.75" style="622" customWidth="1"/>
    <col min="15874" max="15874" width="50" style="622" customWidth="1"/>
    <col min="15875" max="15875" width="9.75" style="622" customWidth="1"/>
    <col min="15876" max="15876" width="10" style="622" customWidth="1"/>
    <col min="15877" max="15877" width="6.875" style="622" customWidth="1"/>
    <col min="15878" max="15879" width="10" style="622" customWidth="1"/>
    <col min="15880" max="15880" width="6.875" style="622" customWidth="1"/>
    <col min="15881" max="15881" width="10" style="622" customWidth="1"/>
    <col min="15882" max="15883" width="6.875" style="622" customWidth="1"/>
    <col min="15884" max="15885" width="10" style="622" customWidth="1"/>
    <col min="15886" max="15886" width="11.125" style="622" customWidth="1"/>
    <col min="15887" max="15887" width="19.5" style="622" bestFit="1" customWidth="1"/>
    <col min="15888" max="16128" width="9" style="622"/>
    <col min="16129" max="16129" width="2.75" style="622" customWidth="1"/>
    <col min="16130" max="16130" width="50" style="622" customWidth="1"/>
    <col min="16131" max="16131" width="9.75" style="622" customWidth="1"/>
    <col min="16132" max="16132" width="10" style="622" customWidth="1"/>
    <col min="16133" max="16133" width="6.875" style="622" customWidth="1"/>
    <col min="16134" max="16135" width="10" style="622" customWidth="1"/>
    <col min="16136" max="16136" width="6.875" style="622" customWidth="1"/>
    <col min="16137" max="16137" width="10" style="622" customWidth="1"/>
    <col min="16138" max="16139" width="6.875" style="622" customWidth="1"/>
    <col min="16140" max="16141" width="10" style="622" customWidth="1"/>
    <col min="16142" max="16142" width="11.125" style="622" customWidth="1"/>
    <col min="16143" max="16143" width="19.5" style="622" bestFit="1" customWidth="1"/>
    <col min="16144" max="16384" width="9" style="622"/>
  </cols>
  <sheetData>
    <row r="1" spans="1:253" s="576" customFormat="1">
      <c r="A1" s="570"/>
      <c r="B1" s="571" t="s">
        <v>1799</v>
      </c>
      <c r="C1" s="571"/>
      <c r="D1" s="572" t="s">
        <v>1667</v>
      </c>
      <c r="E1" s="573"/>
      <c r="F1" s="572"/>
      <c r="G1" s="572"/>
      <c r="H1" s="574"/>
      <c r="I1" s="572"/>
      <c r="J1" s="574"/>
      <c r="K1" s="574"/>
      <c r="L1" s="572"/>
      <c r="M1" s="572" t="s">
        <v>1676</v>
      </c>
      <c r="N1" s="575" t="s">
        <v>1677</v>
      </c>
      <c r="O1" s="575" t="s">
        <v>4</v>
      </c>
    </row>
    <row r="2" spans="1:253" s="579" customFormat="1">
      <c r="A2" s="577"/>
      <c r="B2" s="578" t="s">
        <v>1656</v>
      </c>
      <c r="D2" s="562">
        <f t="shared" ref="D2:D9" si="0">SUMIF($C$16:$C$128,B2:B2,$D$16:$D$128)</f>
        <v>1106890</v>
      </c>
      <c r="E2" s="580"/>
      <c r="F2" s="562"/>
      <c r="G2" s="562"/>
      <c r="H2" s="581"/>
      <c r="I2" s="562"/>
      <c r="J2" s="582"/>
      <c r="K2" s="582"/>
      <c r="L2" s="562"/>
      <c r="M2" s="562">
        <f t="shared" ref="M2:M9" si="1">SUMIF($C$16:$C$128,B2,$M$16:$M$128)</f>
        <v>325651.25</v>
      </c>
      <c r="N2" s="562">
        <f>SUMIF($C$16:$C$128,B2:B2,$N$16:$N$128)</f>
        <v>347963.60000000003</v>
      </c>
      <c r="O2" s="583"/>
    </row>
    <row r="3" spans="1:253" s="579" customFormat="1">
      <c r="A3" s="577"/>
      <c r="B3" s="578" t="s">
        <v>1657</v>
      </c>
      <c r="D3" s="562">
        <f t="shared" si="0"/>
        <v>167756</v>
      </c>
      <c r="E3" s="580"/>
      <c r="F3" s="562"/>
      <c r="G3" s="562"/>
      <c r="H3" s="581"/>
      <c r="I3" s="562"/>
      <c r="J3" s="582"/>
      <c r="K3" s="582"/>
      <c r="L3" s="562"/>
      <c r="M3" s="562">
        <f t="shared" si="1"/>
        <v>84829.099999999991</v>
      </c>
      <c r="N3" s="562">
        <f t="shared" ref="N3:N9" si="2">SUMIF($C$16:$C$128,B3:B3,$N$16:$N$128)</f>
        <v>21574.300000000003</v>
      </c>
      <c r="O3" s="584"/>
    </row>
    <row r="4" spans="1:253" s="579" customFormat="1">
      <c r="A4" s="577"/>
      <c r="B4" s="578" t="s">
        <v>1658</v>
      </c>
      <c r="D4" s="562">
        <f t="shared" si="0"/>
        <v>62285</v>
      </c>
      <c r="E4" s="580"/>
      <c r="F4" s="562"/>
      <c r="G4" s="562"/>
      <c r="H4" s="581"/>
      <c r="I4" s="562"/>
      <c r="J4" s="582"/>
      <c r="K4" s="582"/>
      <c r="L4" s="562"/>
      <c r="M4" s="562">
        <f t="shared" si="1"/>
        <v>28211.4</v>
      </c>
      <c r="N4" s="562">
        <f t="shared" si="2"/>
        <v>2984.4</v>
      </c>
      <c r="O4" s="583"/>
    </row>
    <row r="5" spans="1:253" s="579" customFormat="1">
      <c r="A5" s="577"/>
      <c r="B5" s="578" t="s">
        <v>1659</v>
      </c>
      <c r="D5" s="562">
        <f t="shared" si="0"/>
        <v>94186</v>
      </c>
      <c r="E5" s="580"/>
      <c r="F5" s="562"/>
      <c r="G5" s="562"/>
      <c r="H5" s="581"/>
      <c r="I5" s="562"/>
      <c r="J5" s="582"/>
      <c r="K5" s="582"/>
      <c r="L5" s="562"/>
      <c r="M5" s="562">
        <f t="shared" si="1"/>
        <v>45127.28</v>
      </c>
      <c r="N5" s="562">
        <f t="shared" si="2"/>
        <v>15605.62</v>
      </c>
      <c r="O5" s="585"/>
    </row>
    <row r="6" spans="1:253" s="579" customFormat="1">
      <c r="A6" s="577"/>
      <c r="B6" s="578" t="s">
        <v>1660</v>
      </c>
      <c r="D6" s="562">
        <f t="shared" si="0"/>
        <v>73383</v>
      </c>
      <c r="E6" s="580"/>
      <c r="F6" s="562"/>
      <c r="G6" s="562"/>
      <c r="H6" s="581"/>
      <c r="I6" s="562"/>
      <c r="J6" s="582"/>
      <c r="K6" s="582"/>
      <c r="L6" s="562"/>
      <c r="M6" s="562">
        <f t="shared" si="1"/>
        <v>34976.300000000003</v>
      </c>
      <c r="N6" s="562">
        <f t="shared" si="2"/>
        <v>9382.0000000000018</v>
      </c>
      <c r="O6" s="585"/>
    </row>
    <row r="7" spans="1:253" s="579" customFormat="1">
      <c r="A7" s="577"/>
      <c r="B7" s="578" t="s">
        <v>1661</v>
      </c>
      <c r="D7" s="562">
        <f t="shared" si="0"/>
        <v>130000</v>
      </c>
      <c r="E7" s="580"/>
      <c r="F7" s="562"/>
      <c r="G7" s="562"/>
      <c r="H7" s="581"/>
      <c r="I7" s="562"/>
      <c r="J7" s="582"/>
      <c r="K7" s="582"/>
      <c r="L7" s="562"/>
      <c r="M7" s="562">
        <f t="shared" si="1"/>
        <v>56931.360000000001</v>
      </c>
      <c r="N7" s="562">
        <f t="shared" si="2"/>
        <v>18658.920000000002</v>
      </c>
      <c r="O7" s="585"/>
    </row>
    <row r="8" spans="1:253" s="579" customFormat="1">
      <c r="A8" s="577"/>
      <c r="B8" s="578" t="s">
        <v>1662</v>
      </c>
      <c r="D8" s="562">
        <f t="shared" si="0"/>
        <v>8000</v>
      </c>
      <c r="E8" s="580"/>
      <c r="F8" s="562"/>
      <c r="G8" s="562"/>
      <c r="H8" s="581"/>
      <c r="I8" s="562"/>
      <c r="J8" s="582"/>
      <c r="K8" s="582"/>
      <c r="L8" s="562"/>
      <c r="M8" s="562">
        <f t="shared" si="1"/>
        <v>3186.8</v>
      </c>
      <c r="N8" s="562">
        <f t="shared" si="2"/>
        <v>513.99999999999977</v>
      </c>
      <c r="O8" s="585"/>
    </row>
    <row r="9" spans="1:253" s="579" customFormat="1">
      <c r="A9" s="577"/>
      <c r="B9" s="578" t="s">
        <v>1663</v>
      </c>
      <c r="D9" s="562">
        <f t="shared" si="0"/>
        <v>2500</v>
      </c>
      <c r="E9" s="580"/>
      <c r="F9" s="562"/>
      <c r="G9" s="562"/>
      <c r="H9" s="581"/>
      <c r="I9" s="562"/>
      <c r="J9" s="582"/>
      <c r="K9" s="582"/>
      <c r="L9" s="562"/>
      <c r="M9" s="562">
        <f t="shared" si="1"/>
        <v>1292</v>
      </c>
      <c r="N9" s="562">
        <f t="shared" si="2"/>
        <v>418</v>
      </c>
      <c r="O9" s="585"/>
    </row>
    <row r="10" spans="1:253" s="576" customFormat="1">
      <c r="A10" s="586"/>
      <c r="B10" s="587" t="s">
        <v>1664</v>
      </c>
      <c r="D10" s="588">
        <f>SUM(D2:D9)</f>
        <v>1645000</v>
      </c>
      <c r="E10" s="589"/>
      <c r="F10" s="588"/>
      <c r="G10" s="588"/>
      <c r="H10" s="590"/>
      <c r="I10" s="588"/>
      <c r="J10" s="591"/>
      <c r="K10" s="588"/>
      <c r="L10" s="592"/>
      <c r="M10" s="592">
        <f>SUM(M2:M9)</f>
        <v>580205.49000000011</v>
      </c>
      <c r="N10" s="592">
        <f>SUM(N2:N9)</f>
        <v>417100.84</v>
      </c>
      <c r="O10" s="593"/>
      <c r="P10" s="594"/>
      <c r="Q10" s="594"/>
      <c r="R10" s="594"/>
      <c r="S10" s="594"/>
      <c r="T10" s="594"/>
      <c r="U10" s="594"/>
      <c r="V10" s="594"/>
      <c r="W10" s="594"/>
      <c r="X10" s="594"/>
      <c r="Y10" s="594"/>
      <c r="Z10" s="594"/>
      <c r="AA10" s="594"/>
      <c r="AB10" s="594"/>
      <c r="AC10" s="594"/>
      <c r="AD10" s="594"/>
      <c r="AE10" s="594"/>
      <c r="AF10" s="594"/>
      <c r="AG10" s="594"/>
      <c r="AH10" s="594"/>
      <c r="AI10" s="594"/>
      <c r="AJ10" s="594"/>
      <c r="AK10" s="594"/>
      <c r="AL10" s="594"/>
      <c r="AM10" s="594"/>
      <c r="AN10" s="594"/>
      <c r="AO10" s="594"/>
      <c r="AP10" s="594"/>
      <c r="AQ10" s="594"/>
      <c r="AR10" s="594"/>
      <c r="AS10" s="594"/>
      <c r="AT10" s="594"/>
      <c r="AU10" s="594"/>
      <c r="AV10" s="594"/>
      <c r="AW10" s="594"/>
      <c r="AX10" s="594"/>
      <c r="AY10" s="594"/>
      <c r="AZ10" s="594"/>
      <c r="BA10" s="594"/>
      <c r="BB10" s="594"/>
      <c r="BC10" s="594"/>
      <c r="BD10" s="594"/>
      <c r="BE10" s="594"/>
      <c r="BF10" s="594"/>
      <c r="BG10" s="594"/>
      <c r="BH10" s="594"/>
      <c r="BI10" s="594"/>
      <c r="BJ10" s="594"/>
      <c r="BK10" s="594"/>
      <c r="BL10" s="594"/>
      <c r="BM10" s="594"/>
      <c r="BN10" s="594"/>
      <c r="BO10" s="594"/>
      <c r="BP10" s="594"/>
      <c r="BQ10" s="594"/>
      <c r="BR10" s="594"/>
      <c r="BS10" s="594"/>
      <c r="BT10" s="594"/>
      <c r="BU10" s="594"/>
      <c r="BV10" s="594"/>
      <c r="BW10" s="594"/>
      <c r="BX10" s="594"/>
      <c r="BY10" s="594"/>
      <c r="BZ10" s="594"/>
      <c r="CA10" s="594"/>
      <c r="CB10" s="594"/>
      <c r="CC10" s="594"/>
      <c r="CD10" s="594"/>
      <c r="CE10" s="594"/>
      <c r="CF10" s="594"/>
      <c r="CG10" s="594"/>
      <c r="CH10" s="594"/>
      <c r="CI10" s="594"/>
      <c r="CJ10" s="594"/>
      <c r="CK10" s="594"/>
      <c r="CL10" s="594"/>
      <c r="CM10" s="594"/>
      <c r="CN10" s="594"/>
      <c r="CO10" s="594"/>
      <c r="CP10" s="594"/>
      <c r="CQ10" s="594"/>
      <c r="CR10" s="594"/>
      <c r="CS10" s="594"/>
      <c r="CT10" s="594"/>
      <c r="CU10" s="594"/>
      <c r="CV10" s="594"/>
      <c r="CW10" s="594"/>
      <c r="CX10" s="594"/>
      <c r="CY10" s="594"/>
      <c r="CZ10" s="594"/>
      <c r="DA10" s="594"/>
      <c r="DB10" s="594"/>
      <c r="DC10" s="594"/>
      <c r="DD10" s="594"/>
      <c r="DE10" s="594"/>
      <c r="DF10" s="594"/>
      <c r="DG10" s="594"/>
      <c r="DH10" s="594"/>
      <c r="DI10" s="594"/>
      <c r="DJ10" s="594"/>
      <c r="DK10" s="594"/>
      <c r="DL10" s="594"/>
      <c r="DM10" s="594"/>
      <c r="DN10" s="594"/>
      <c r="DO10" s="594"/>
      <c r="DP10" s="594"/>
      <c r="DQ10" s="594"/>
      <c r="DR10" s="594"/>
      <c r="DS10" s="594"/>
      <c r="DT10" s="594"/>
      <c r="DU10" s="594"/>
      <c r="DV10" s="594"/>
      <c r="DW10" s="594"/>
      <c r="DX10" s="594"/>
      <c r="DY10" s="594"/>
      <c r="DZ10" s="594"/>
      <c r="EA10" s="594"/>
      <c r="EB10" s="594"/>
      <c r="EC10" s="594"/>
      <c r="ED10" s="594"/>
      <c r="EE10" s="594"/>
      <c r="EF10" s="594"/>
      <c r="EG10" s="594"/>
      <c r="EH10" s="594"/>
      <c r="EI10" s="594"/>
      <c r="EJ10" s="594"/>
      <c r="EK10" s="594"/>
      <c r="EL10" s="594"/>
      <c r="EM10" s="594"/>
      <c r="EN10" s="594"/>
      <c r="EO10" s="594"/>
      <c r="EP10" s="594"/>
      <c r="EQ10" s="594"/>
      <c r="ER10" s="594"/>
      <c r="ES10" s="594"/>
      <c r="ET10" s="594"/>
      <c r="EU10" s="594"/>
      <c r="EV10" s="594"/>
      <c r="EW10" s="594"/>
      <c r="EX10" s="594"/>
      <c r="EY10" s="594"/>
      <c r="EZ10" s="594"/>
      <c r="FA10" s="594"/>
      <c r="FB10" s="594"/>
      <c r="FC10" s="594"/>
      <c r="FD10" s="594"/>
      <c r="FE10" s="594"/>
      <c r="FF10" s="594"/>
      <c r="FG10" s="594"/>
      <c r="FH10" s="594"/>
      <c r="FI10" s="594"/>
      <c r="FJ10" s="594"/>
      <c r="FK10" s="594"/>
      <c r="FL10" s="594"/>
      <c r="FM10" s="594"/>
      <c r="FN10" s="594"/>
      <c r="FO10" s="594"/>
      <c r="FP10" s="594"/>
      <c r="FQ10" s="594"/>
      <c r="FR10" s="594"/>
      <c r="FS10" s="594"/>
      <c r="FT10" s="594"/>
      <c r="FU10" s="594"/>
      <c r="FV10" s="594"/>
      <c r="FW10" s="594"/>
      <c r="FX10" s="594"/>
      <c r="FY10" s="594"/>
      <c r="FZ10" s="594"/>
      <c r="GA10" s="594"/>
      <c r="GB10" s="594"/>
      <c r="GC10" s="594"/>
      <c r="GD10" s="594"/>
      <c r="GE10" s="594"/>
      <c r="GF10" s="594"/>
      <c r="GG10" s="594"/>
      <c r="GH10" s="594"/>
      <c r="GI10" s="594"/>
      <c r="GJ10" s="594"/>
      <c r="GK10" s="594"/>
      <c r="GL10" s="594"/>
      <c r="GM10" s="594"/>
      <c r="GN10" s="594"/>
      <c r="GO10" s="594"/>
      <c r="GP10" s="594"/>
      <c r="GQ10" s="594"/>
      <c r="GR10" s="594"/>
      <c r="GS10" s="594"/>
      <c r="GT10" s="594"/>
      <c r="GU10" s="594"/>
      <c r="GV10" s="594"/>
      <c r="GW10" s="594"/>
      <c r="GX10" s="594"/>
      <c r="GY10" s="594"/>
      <c r="GZ10" s="594"/>
      <c r="HA10" s="594"/>
      <c r="HB10" s="594"/>
      <c r="HC10" s="594"/>
      <c r="HD10" s="594"/>
      <c r="HE10" s="594"/>
      <c r="HF10" s="594"/>
      <c r="HG10" s="594"/>
      <c r="HH10" s="594"/>
      <c r="HI10" s="594"/>
      <c r="HJ10" s="594"/>
      <c r="HK10" s="594"/>
      <c r="HL10" s="594"/>
      <c r="HM10" s="594"/>
      <c r="HN10" s="594"/>
      <c r="HO10" s="594"/>
      <c r="HP10" s="594"/>
      <c r="HQ10" s="594"/>
      <c r="HR10" s="594"/>
      <c r="HS10" s="594"/>
      <c r="HT10" s="594"/>
      <c r="HU10" s="594"/>
      <c r="HV10" s="594"/>
      <c r="HW10" s="594"/>
      <c r="HX10" s="594"/>
      <c r="HY10" s="594"/>
      <c r="HZ10" s="594"/>
      <c r="IA10" s="594"/>
      <c r="IB10" s="594"/>
      <c r="IC10" s="594"/>
      <c r="ID10" s="594"/>
      <c r="IE10" s="594"/>
      <c r="IF10" s="594"/>
      <c r="IG10" s="594"/>
      <c r="IH10" s="594"/>
      <c r="II10" s="594"/>
      <c r="IJ10" s="594"/>
      <c r="IK10" s="594"/>
      <c r="IL10" s="594"/>
      <c r="IM10" s="594"/>
      <c r="IN10" s="594"/>
      <c r="IO10" s="594"/>
      <c r="IP10" s="594"/>
      <c r="IQ10" s="594"/>
      <c r="IR10" s="594"/>
      <c r="IS10" s="594"/>
    </row>
    <row r="11" spans="1:253" s="604" customFormat="1" ht="15.75">
      <c r="A11" s="595"/>
      <c r="B11" s="596" t="s">
        <v>1800</v>
      </c>
      <c r="C11" s="597"/>
      <c r="D11" s="598"/>
      <c r="E11" s="599"/>
      <c r="F11" s="598"/>
      <c r="G11" s="598"/>
      <c r="H11" s="600"/>
      <c r="I11" s="598"/>
      <c r="J11" s="601"/>
      <c r="K11" s="598"/>
      <c r="L11" s="602"/>
      <c r="M11" s="602">
        <v>0</v>
      </c>
      <c r="N11" s="602">
        <v>78000</v>
      </c>
      <c r="O11" s="597"/>
      <c r="P11" s="603"/>
      <c r="Q11" s="603"/>
      <c r="R11" s="603"/>
      <c r="S11" s="603"/>
      <c r="T11" s="603"/>
      <c r="U11" s="603"/>
      <c r="V11" s="603"/>
      <c r="W11" s="603"/>
      <c r="X11" s="603"/>
      <c r="Y11" s="603"/>
      <c r="Z11" s="603"/>
      <c r="AA11" s="603"/>
      <c r="AB11" s="603"/>
      <c r="AC11" s="603"/>
      <c r="AD11" s="603"/>
      <c r="AE11" s="603"/>
      <c r="AF11" s="603"/>
      <c r="AG11" s="603"/>
      <c r="AH11" s="603"/>
      <c r="AI11" s="603"/>
      <c r="AJ11" s="603"/>
      <c r="AK11" s="603"/>
      <c r="AL11" s="603"/>
      <c r="AM11" s="603"/>
      <c r="AN11" s="603"/>
      <c r="AO11" s="603"/>
      <c r="AP11" s="603"/>
      <c r="AQ11" s="603"/>
      <c r="AR11" s="603"/>
      <c r="AS11" s="603"/>
      <c r="AT11" s="603"/>
      <c r="AU11" s="603"/>
      <c r="AV11" s="603"/>
      <c r="AW11" s="603"/>
      <c r="AX11" s="603"/>
      <c r="AY11" s="603"/>
      <c r="AZ11" s="603"/>
      <c r="BA11" s="603"/>
      <c r="BB11" s="603"/>
      <c r="BC11" s="603"/>
      <c r="BD11" s="603"/>
      <c r="BE11" s="603"/>
      <c r="BF11" s="603"/>
      <c r="BG11" s="603"/>
      <c r="BH11" s="603"/>
      <c r="BI11" s="603"/>
      <c r="BJ11" s="603"/>
      <c r="BK11" s="603"/>
      <c r="BL11" s="603"/>
      <c r="BM11" s="603"/>
      <c r="BN11" s="603"/>
      <c r="BO11" s="603"/>
      <c r="BP11" s="603"/>
      <c r="BQ11" s="603"/>
      <c r="BR11" s="603"/>
      <c r="BS11" s="603"/>
      <c r="BT11" s="603"/>
      <c r="BU11" s="603"/>
      <c r="BV11" s="603"/>
      <c r="BW11" s="603"/>
      <c r="BX11" s="603"/>
      <c r="BY11" s="603"/>
      <c r="BZ11" s="603"/>
      <c r="CA11" s="603"/>
      <c r="CB11" s="603"/>
      <c r="CC11" s="603"/>
      <c r="CD11" s="603"/>
      <c r="CE11" s="603"/>
      <c r="CF11" s="603"/>
      <c r="CG11" s="603"/>
      <c r="CH11" s="603"/>
      <c r="CI11" s="603"/>
      <c r="CJ11" s="603"/>
      <c r="CK11" s="603"/>
      <c r="CL11" s="603"/>
      <c r="CM11" s="603"/>
      <c r="CN11" s="603"/>
      <c r="CO11" s="603"/>
      <c r="CP11" s="603"/>
      <c r="CQ11" s="603"/>
      <c r="CR11" s="603"/>
      <c r="CS11" s="603"/>
      <c r="CT11" s="603"/>
      <c r="CU11" s="603"/>
      <c r="CV11" s="603"/>
      <c r="CW11" s="603"/>
      <c r="CX11" s="603"/>
      <c r="CY11" s="603"/>
      <c r="CZ11" s="603"/>
      <c r="DA11" s="603"/>
      <c r="DB11" s="603"/>
      <c r="DC11" s="603"/>
      <c r="DD11" s="603"/>
      <c r="DE11" s="603"/>
      <c r="DF11" s="603"/>
      <c r="DG11" s="603"/>
      <c r="DH11" s="603"/>
      <c r="DI11" s="603"/>
      <c r="DJ11" s="603"/>
      <c r="DK11" s="603"/>
      <c r="DL11" s="603"/>
      <c r="DM11" s="603"/>
      <c r="DN11" s="603"/>
      <c r="DO11" s="603"/>
      <c r="DP11" s="603"/>
      <c r="DQ11" s="603"/>
      <c r="DR11" s="603"/>
      <c r="DS11" s="603"/>
      <c r="DT11" s="603"/>
      <c r="DU11" s="603"/>
      <c r="DV11" s="603"/>
      <c r="DW11" s="603"/>
      <c r="DX11" s="603"/>
      <c r="DY11" s="603"/>
      <c r="DZ11" s="603"/>
      <c r="EA11" s="603"/>
      <c r="EB11" s="603"/>
      <c r="EC11" s="603"/>
      <c r="ED11" s="603"/>
      <c r="EE11" s="603"/>
      <c r="EF11" s="603"/>
      <c r="EG11" s="603"/>
      <c r="EH11" s="603"/>
      <c r="EI11" s="603"/>
      <c r="EJ11" s="603"/>
      <c r="EK11" s="603"/>
      <c r="EL11" s="603"/>
      <c r="EM11" s="603"/>
      <c r="EN11" s="603"/>
      <c r="EO11" s="603"/>
      <c r="EP11" s="603"/>
      <c r="EQ11" s="603"/>
      <c r="ER11" s="603"/>
      <c r="ES11" s="603"/>
      <c r="ET11" s="603"/>
      <c r="EU11" s="603"/>
      <c r="EV11" s="603"/>
      <c r="EW11" s="603"/>
      <c r="EX11" s="603"/>
      <c r="EY11" s="603"/>
      <c r="EZ11" s="603"/>
      <c r="FA11" s="603"/>
      <c r="FB11" s="603"/>
      <c r="FC11" s="603"/>
      <c r="FD11" s="603"/>
      <c r="FE11" s="603"/>
      <c r="FF11" s="603"/>
      <c r="FG11" s="603"/>
      <c r="FH11" s="603"/>
      <c r="FI11" s="603"/>
      <c r="FJ11" s="603"/>
      <c r="FK11" s="603"/>
      <c r="FL11" s="603"/>
      <c r="FM11" s="603"/>
      <c r="FN11" s="603"/>
      <c r="FO11" s="603"/>
      <c r="FP11" s="603"/>
      <c r="FQ11" s="603"/>
      <c r="FR11" s="603"/>
      <c r="FS11" s="603"/>
      <c r="FT11" s="603"/>
      <c r="FU11" s="603"/>
      <c r="FV11" s="603"/>
      <c r="FW11" s="603"/>
      <c r="FX11" s="603"/>
      <c r="FY11" s="603"/>
      <c r="FZ11" s="603"/>
      <c r="GA11" s="603"/>
      <c r="GB11" s="603"/>
      <c r="GC11" s="603"/>
      <c r="GD11" s="603"/>
      <c r="GE11" s="603"/>
      <c r="GF11" s="603"/>
      <c r="GG11" s="603"/>
      <c r="GH11" s="603"/>
      <c r="GI11" s="603"/>
      <c r="GJ11" s="603"/>
      <c r="GK11" s="603"/>
      <c r="GL11" s="603"/>
      <c r="GM11" s="603"/>
      <c r="GN11" s="603"/>
      <c r="GO11" s="603"/>
      <c r="GP11" s="603"/>
      <c r="GQ11" s="603"/>
      <c r="GR11" s="603"/>
      <c r="GS11" s="603"/>
      <c r="GT11" s="603"/>
      <c r="GU11" s="603"/>
      <c r="GV11" s="603"/>
      <c r="GW11" s="603"/>
      <c r="GX11" s="603"/>
      <c r="GY11" s="603"/>
      <c r="GZ11" s="603"/>
      <c r="HA11" s="603"/>
      <c r="HB11" s="603"/>
      <c r="HC11" s="603"/>
      <c r="HD11" s="603"/>
      <c r="HE11" s="603"/>
      <c r="HF11" s="603"/>
      <c r="HG11" s="603"/>
      <c r="HH11" s="603"/>
      <c r="HI11" s="603"/>
      <c r="HJ11" s="603"/>
      <c r="HK11" s="603"/>
      <c r="HL11" s="603"/>
      <c r="HM11" s="603"/>
      <c r="HN11" s="603"/>
      <c r="HO11" s="603"/>
      <c r="HP11" s="603"/>
      <c r="HQ11" s="603"/>
      <c r="HR11" s="603"/>
      <c r="HS11" s="603"/>
      <c r="HT11" s="603"/>
      <c r="HU11" s="603"/>
      <c r="HV11" s="603"/>
      <c r="HW11" s="603"/>
      <c r="HX11" s="603"/>
      <c r="HY11" s="603"/>
      <c r="HZ11" s="603"/>
      <c r="IA11" s="603"/>
      <c r="IB11" s="603"/>
      <c r="IC11" s="603"/>
      <c r="ID11" s="603"/>
      <c r="IE11" s="603"/>
      <c r="IF11" s="603"/>
      <c r="IG11" s="603"/>
      <c r="IH11" s="603"/>
      <c r="II11" s="603"/>
      <c r="IJ11" s="603"/>
      <c r="IK11" s="603"/>
      <c r="IL11" s="603"/>
      <c r="IM11" s="603"/>
      <c r="IN11" s="603"/>
      <c r="IO11" s="603"/>
      <c r="IP11" s="603"/>
      <c r="IQ11" s="603"/>
      <c r="IR11" s="603"/>
      <c r="IS11" s="603"/>
    </row>
    <row r="12" spans="1:253" s="579" customFormat="1">
      <c r="A12" s="605"/>
      <c r="B12" s="606" t="s">
        <v>1801</v>
      </c>
      <c r="D12" s="607"/>
      <c r="E12" s="608"/>
      <c r="F12" s="607"/>
      <c r="G12" s="607"/>
      <c r="H12" s="609"/>
      <c r="I12" s="607"/>
      <c r="J12" s="582"/>
      <c r="K12" s="607"/>
      <c r="L12" s="610"/>
      <c r="M12" s="611">
        <f>M10-M11</f>
        <v>580205.49000000011</v>
      </c>
      <c r="N12" s="611">
        <f>N10-N11</f>
        <v>339100.84</v>
      </c>
      <c r="O12" s="584"/>
      <c r="P12" s="612"/>
      <c r="Q12" s="612"/>
      <c r="R12" s="612"/>
      <c r="S12" s="612"/>
      <c r="T12" s="612"/>
      <c r="U12" s="612"/>
      <c r="V12" s="612"/>
      <c r="W12" s="612"/>
      <c r="X12" s="612"/>
      <c r="Y12" s="612"/>
      <c r="Z12" s="612"/>
      <c r="AA12" s="612"/>
      <c r="AB12" s="612"/>
      <c r="AC12" s="612"/>
      <c r="AD12" s="612"/>
      <c r="AE12" s="612"/>
      <c r="AF12" s="612"/>
      <c r="AG12" s="612"/>
      <c r="AH12" s="612"/>
      <c r="AI12" s="612"/>
      <c r="AJ12" s="612"/>
      <c r="AK12" s="612"/>
      <c r="AL12" s="612"/>
      <c r="AM12" s="612"/>
      <c r="AN12" s="612"/>
      <c r="AO12" s="612"/>
      <c r="AP12" s="612"/>
      <c r="AQ12" s="612"/>
      <c r="AR12" s="612"/>
      <c r="AS12" s="612"/>
      <c r="AT12" s="612"/>
      <c r="AU12" s="612"/>
      <c r="AV12" s="612"/>
      <c r="AW12" s="612"/>
      <c r="AX12" s="612"/>
      <c r="AY12" s="612"/>
      <c r="AZ12" s="612"/>
      <c r="BA12" s="612"/>
      <c r="BB12" s="612"/>
      <c r="BC12" s="612"/>
      <c r="BD12" s="612"/>
      <c r="BE12" s="612"/>
      <c r="BF12" s="612"/>
      <c r="BG12" s="612"/>
      <c r="BH12" s="612"/>
      <c r="BI12" s="612"/>
      <c r="BJ12" s="612"/>
      <c r="BK12" s="612"/>
      <c r="BL12" s="612"/>
      <c r="BM12" s="612"/>
      <c r="BN12" s="612"/>
      <c r="BO12" s="612"/>
      <c r="BP12" s="612"/>
      <c r="BQ12" s="612"/>
      <c r="BR12" s="612"/>
      <c r="BS12" s="612"/>
      <c r="BT12" s="612"/>
      <c r="BU12" s="612"/>
      <c r="BV12" s="612"/>
      <c r="BW12" s="612"/>
      <c r="BX12" s="612"/>
      <c r="BY12" s="612"/>
      <c r="BZ12" s="612"/>
      <c r="CA12" s="612"/>
      <c r="CB12" s="612"/>
      <c r="CC12" s="612"/>
      <c r="CD12" s="612"/>
      <c r="CE12" s="612"/>
      <c r="CF12" s="612"/>
      <c r="CG12" s="612"/>
      <c r="CH12" s="612"/>
      <c r="CI12" s="612"/>
      <c r="CJ12" s="612"/>
      <c r="CK12" s="612"/>
      <c r="CL12" s="612"/>
      <c r="CM12" s="612"/>
      <c r="CN12" s="612"/>
      <c r="CO12" s="612"/>
      <c r="CP12" s="612"/>
      <c r="CQ12" s="612"/>
      <c r="CR12" s="612"/>
      <c r="CS12" s="612"/>
      <c r="CT12" s="612"/>
      <c r="CU12" s="612"/>
      <c r="CV12" s="612"/>
      <c r="CW12" s="612"/>
      <c r="CX12" s="612"/>
      <c r="CY12" s="612"/>
      <c r="CZ12" s="612"/>
      <c r="DA12" s="612"/>
      <c r="DB12" s="612"/>
      <c r="DC12" s="612"/>
      <c r="DD12" s="612"/>
      <c r="DE12" s="612"/>
      <c r="DF12" s="612"/>
      <c r="DG12" s="612"/>
      <c r="DH12" s="612"/>
      <c r="DI12" s="612"/>
      <c r="DJ12" s="612"/>
      <c r="DK12" s="612"/>
      <c r="DL12" s="612"/>
      <c r="DM12" s="612"/>
      <c r="DN12" s="612"/>
      <c r="DO12" s="612"/>
      <c r="DP12" s="612"/>
      <c r="DQ12" s="612"/>
      <c r="DR12" s="612"/>
      <c r="DS12" s="612"/>
      <c r="DT12" s="612"/>
      <c r="DU12" s="612"/>
      <c r="DV12" s="612"/>
      <c r="DW12" s="612"/>
      <c r="DX12" s="612"/>
      <c r="DY12" s="612"/>
      <c r="DZ12" s="612"/>
      <c r="EA12" s="612"/>
      <c r="EB12" s="612"/>
      <c r="EC12" s="612"/>
      <c r="ED12" s="612"/>
      <c r="EE12" s="612"/>
      <c r="EF12" s="612"/>
      <c r="EG12" s="612"/>
      <c r="EH12" s="612"/>
      <c r="EI12" s="612"/>
      <c r="EJ12" s="612"/>
      <c r="EK12" s="612"/>
      <c r="EL12" s="612"/>
      <c r="EM12" s="612"/>
      <c r="EN12" s="612"/>
      <c r="EO12" s="612"/>
      <c r="EP12" s="612"/>
      <c r="EQ12" s="612"/>
      <c r="ER12" s="612"/>
      <c r="ES12" s="612"/>
      <c r="ET12" s="612"/>
      <c r="EU12" s="612"/>
      <c r="EV12" s="612"/>
      <c r="EW12" s="612"/>
      <c r="EX12" s="612"/>
      <c r="EY12" s="612"/>
      <c r="EZ12" s="612"/>
      <c r="FA12" s="612"/>
      <c r="FB12" s="612"/>
      <c r="FC12" s="612"/>
      <c r="FD12" s="612"/>
      <c r="FE12" s="612"/>
      <c r="FF12" s="612"/>
      <c r="FG12" s="612"/>
      <c r="FH12" s="612"/>
      <c r="FI12" s="612"/>
      <c r="FJ12" s="612"/>
      <c r="FK12" s="612"/>
      <c r="FL12" s="612"/>
      <c r="FM12" s="612"/>
      <c r="FN12" s="612"/>
      <c r="FO12" s="612"/>
      <c r="FP12" s="612"/>
      <c r="FQ12" s="612"/>
      <c r="FR12" s="612"/>
      <c r="FS12" s="612"/>
      <c r="FT12" s="612"/>
      <c r="FU12" s="612"/>
      <c r="FV12" s="612"/>
      <c r="FW12" s="612"/>
      <c r="FX12" s="612"/>
      <c r="FY12" s="612"/>
      <c r="FZ12" s="612"/>
      <c r="GA12" s="612"/>
      <c r="GB12" s="612"/>
      <c r="GC12" s="612"/>
      <c r="GD12" s="612"/>
      <c r="GE12" s="612"/>
      <c r="GF12" s="612"/>
      <c r="GG12" s="612"/>
      <c r="GH12" s="612"/>
      <c r="GI12" s="612"/>
      <c r="GJ12" s="612"/>
      <c r="GK12" s="612"/>
      <c r="GL12" s="612"/>
      <c r="GM12" s="612"/>
      <c r="GN12" s="612"/>
      <c r="GO12" s="612"/>
      <c r="GP12" s="612"/>
      <c r="GQ12" s="612"/>
      <c r="GR12" s="612"/>
      <c r="GS12" s="612"/>
      <c r="GT12" s="612"/>
      <c r="GU12" s="612"/>
      <c r="GV12" s="612"/>
      <c r="GW12" s="612"/>
      <c r="GX12" s="612"/>
      <c r="GY12" s="612"/>
      <c r="GZ12" s="612"/>
      <c r="HA12" s="612"/>
      <c r="HB12" s="612"/>
      <c r="HC12" s="612"/>
      <c r="HD12" s="612"/>
      <c r="HE12" s="612"/>
      <c r="HF12" s="612"/>
      <c r="HG12" s="612"/>
      <c r="HH12" s="612"/>
      <c r="HI12" s="612"/>
      <c r="HJ12" s="612"/>
      <c r="HK12" s="612"/>
      <c r="HL12" s="612"/>
      <c r="HM12" s="612"/>
      <c r="HN12" s="612"/>
      <c r="HO12" s="612"/>
      <c r="HP12" s="612"/>
      <c r="HQ12" s="612"/>
      <c r="HR12" s="612"/>
      <c r="HS12" s="612"/>
      <c r="HT12" s="612"/>
      <c r="HU12" s="612"/>
      <c r="HV12" s="612"/>
      <c r="HW12" s="612"/>
      <c r="HX12" s="612"/>
      <c r="HY12" s="612"/>
      <c r="HZ12" s="612"/>
      <c r="IA12" s="612"/>
      <c r="IB12" s="612"/>
      <c r="IC12" s="612"/>
      <c r="ID12" s="612"/>
      <c r="IE12" s="612"/>
      <c r="IF12" s="612"/>
      <c r="IG12" s="612"/>
      <c r="IH12" s="612"/>
      <c r="II12" s="612"/>
      <c r="IJ12" s="612"/>
      <c r="IK12" s="612"/>
      <c r="IL12" s="612"/>
      <c r="IM12" s="612"/>
      <c r="IN12" s="612"/>
      <c r="IO12" s="612"/>
      <c r="IP12" s="612"/>
      <c r="IQ12" s="612"/>
      <c r="IR12" s="612"/>
      <c r="IS12" s="612"/>
    </row>
    <row r="13" spans="1:253">
      <c r="L13" s="620"/>
      <c r="M13" s="620"/>
      <c r="N13" s="620"/>
      <c r="O13" s="621"/>
    </row>
    <row r="14" spans="1:253" ht="38.25">
      <c r="A14" s="623" t="s">
        <v>469</v>
      </c>
      <c r="B14" s="624" t="s">
        <v>1665</v>
      </c>
      <c r="C14" s="625" t="s">
        <v>1666</v>
      </c>
      <c r="D14" s="626" t="s">
        <v>1667</v>
      </c>
      <c r="E14" s="627" t="s">
        <v>1668</v>
      </c>
      <c r="F14" s="628" t="s">
        <v>1669</v>
      </c>
      <c r="G14" s="626" t="s">
        <v>1670</v>
      </c>
      <c r="H14" s="629" t="s">
        <v>1671</v>
      </c>
      <c r="I14" s="626" t="s">
        <v>1672</v>
      </c>
      <c r="J14" s="629" t="s">
        <v>1673</v>
      </c>
      <c r="K14" s="629" t="s">
        <v>1674</v>
      </c>
      <c r="L14" s="626" t="s">
        <v>1675</v>
      </c>
      <c r="M14" s="626" t="s">
        <v>1676</v>
      </c>
      <c r="N14" s="626" t="s">
        <v>1677</v>
      </c>
      <c r="O14" s="625" t="s">
        <v>4</v>
      </c>
      <c r="P14" s="615"/>
      <c r="Q14" s="615"/>
      <c r="R14" s="615"/>
      <c r="S14" s="615"/>
      <c r="T14" s="615"/>
      <c r="U14" s="615"/>
      <c r="V14" s="615"/>
      <c r="W14" s="615"/>
      <c r="X14" s="615"/>
      <c r="Y14" s="615"/>
      <c r="Z14" s="615"/>
      <c r="AA14" s="615"/>
      <c r="AB14" s="615"/>
      <c r="AC14" s="615"/>
      <c r="AD14" s="615"/>
      <c r="AE14" s="615"/>
      <c r="AF14" s="615"/>
      <c r="AG14" s="615"/>
      <c r="AH14" s="615"/>
      <c r="AI14" s="615"/>
      <c r="AJ14" s="615"/>
      <c r="AK14" s="615"/>
      <c r="AL14" s="615"/>
      <c r="AM14" s="615"/>
      <c r="AN14" s="615"/>
      <c r="AO14" s="615"/>
      <c r="AP14" s="615"/>
      <c r="AQ14" s="615"/>
      <c r="AR14" s="615"/>
      <c r="AS14" s="615"/>
      <c r="AT14" s="615"/>
      <c r="AU14" s="615"/>
      <c r="AV14" s="615"/>
      <c r="AW14" s="615"/>
      <c r="AX14" s="615"/>
      <c r="AY14" s="615"/>
      <c r="AZ14" s="615"/>
      <c r="BA14" s="615"/>
      <c r="BB14" s="615"/>
      <c r="BC14" s="615"/>
      <c r="BD14" s="615"/>
      <c r="BE14" s="615"/>
      <c r="BF14" s="615"/>
      <c r="BG14" s="615"/>
      <c r="BH14" s="615"/>
      <c r="BI14" s="615"/>
      <c r="BJ14" s="615"/>
      <c r="BK14" s="615"/>
      <c r="BL14" s="615"/>
      <c r="BM14" s="615"/>
      <c r="BN14" s="615"/>
      <c r="BO14" s="615"/>
      <c r="BP14" s="615"/>
      <c r="BQ14" s="615"/>
      <c r="BR14" s="615"/>
      <c r="BS14" s="615"/>
      <c r="BT14" s="615"/>
      <c r="BU14" s="615"/>
      <c r="BV14" s="615"/>
      <c r="BW14" s="615"/>
      <c r="BX14" s="615"/>
      <c r="BY14" s="615"/>
      <c r="BZ14" s="615"/>
      <c r="CA14" s="615"/>
      <c r="CB14" s="615"/>
      <c r="CC14" s="615"/>
      <c r="CD14" s="615"/>
      <c r="CE14" s="615"/>
      <c r="CF14" s="615"/>
      <c r="CG14" s="615"/>
      <c r="CH14" s="615"/>
      <c r="CI14" s="615"/>
      <c r="CJ14" s="615"/>
      <c r="CK14" s="615"/>
      <c r="CL14" s="615"/>
      <c r="CM14" s="615"/>
      <c r="CN14" s="615"/>
      <c r="CO14" s="615"/>
      <c r="CP14" s="615"/>
      <c r="CQ14" s="615"/>
      <c r="CR14" s="615"/>
      <c r="CS14" s="615"/>
      <c r="CT14" s="615"/>
      <c r="CU14" s="615"/>
      <c r="CV14" s="615"/>
      <c r="CW14" s="615"/>
      <c r="CX14" s="615"/>
      <c r="CY14" s="615"/>
      <c r="CZ14" s="615"/>
      <c r="DA14" s="615"/>
      <c r="DB14" s="615"/>
      <c r="DC14" s="615"/>
      <c r="DD14" s="615"/>
      <c r="DE14" s="615"/>
      <c r="DF14" s="615"/>
      <c r="DG14" s="615"/>
      <c r="DH14" s="615"/>
      <c r="DI14" s="615"/>
      <c r="DJ14" s="615"/>
      <c r="DK14" s="615"/>
      <c r="DL14" s="615"/>
      <c r="DM14" s="615"/>
      <c r="DN14" s="615"/>
      <c r="DO14" s="615"/>
      <c r="DP14" s="615"/>
      <c r="DQ14" s="615"/>
      <c r="DR14" s="615"/>
      <c r="DS14" s="615"/>
      <c r="DT14" s="615"/>
      <c r="DU14" s="615"/>
      <c r="DV14" s="615"/>
      <c r="DW14" s="615"/>
      <c r="DX14" s="615"/>
      <c r="DY14" s="615"/>
      <c r="DZ14" s="615"/>
      <c r="EA14" s="615"/>
      <c r="EB14" s="615"/>
      <c r="EC14" s="615"/>
      <c r="ED14" s="615"/>
      <c r="EE14" s="615"/>
      <c r="EF14" s="615"/>
      <c r="EG14" s="615"/>
      <c r="EH14" s="615"/>
      <c r="EI14" s="615"/>
      <c r="EJ14" s="615"/>
      <c r="EK14" s="615"/>
      <c r="EL14" s="615"/>
      <c r="EM14" s="615"/>
      <c r="EN14" s="615"/>
      <c r="EO14" s="615"/>
      <c r="EP14" s="615"/>
      <c r="EQ14" s="615"/>
      <c r="ER14" s="615"/>
      <c r="ES14" s="615"/>
      <c r="ET14" s="615"/>
      <c r="EU14" s="615"/>
      <c r="EV14" s="615"/>
      <c r="EW14" s="615"/>
      <c r="EX14" s="615"/>
      <c r="EY14" s="615"/>
      <c r="EZ14" s="615"/>
      <c r="FA14" s="615"/>
      <c r="FB14" s="615"/>
      <c r="FC14" s="615"/>
      <c r="FD14" s="615"/>
      <c r="FE14" s="615"/>
      <c r="FF14" s="615"/>
      <c r="FG14" s="615"/>
      <c r="FH14" s="615"/>
      <c r="FI14" s="615"/>
      <c r="FJ14" s="615"/>
      <c r="FK14" s="615"/>
      <c r="FL14" s="615"/>
      <c r="FM14" s="615"/>
      <c r="FN14" s="615"/>
      <c r="FO14" s="615"/>
      <c r="FP14" s="615"/>
      <c r="FQ14" s="615"/>
      <c r="FR14" s="615"/>
      <c r="FS14" s="615"/>
      <c r="FT14" s="615"/>
      <c r="FU14" s="615"/>
      <c r="FV14" s="615"/>
      <c r="FW14" s="615"/>
      <c r="FX14" s="615"/>
      <c r="FY14" s="615"/>
      <c r="FZ14" s="615"/>
      <c r="GA14" s="615"/>
      <c r="GB14" s="615"/>
      <c r="GC14" s="615"/>
      <c r="GD14" s="615"/>
      <c r="GE14" s="615"/>
      <c r="GF14" s="615"/>
      <c r="GG14" s="615"/>
      <c r="GH14" s="615"/>
      <c r="GI14" s="615"/>
      <c r="GJ14" s="615"/>
      <c r="GK14" s="615"/>
      <c r="GL14" s="615"/>
      <c r="GM14" s="615"/>
      <c r="GN14" s="615"/>
      <c r="GO14" s="615"/>
      <c r="GP14" s="615"/>
      <c r="GQ14" s="615"/>
      <c r="GR14" s="615"/>
      <c r="GS14" s="615"/>
      <c r="GT14" s="615"/>
      <c r="GU14" s="615"/>
      <c r="GV14" s="615"/>
      <c r="GW14" s="615"/>
      <c r="GX14" s="615"/>
      <c r="GY14" s="615"/>
      <c r="GZ14" s="615"/>
      <c r="HA14" s="615"/>
      <c r="HB14" s="615"/>
      <c r="HC14" s="615"/>
      <c r="HD14" s="615"/>
      <c r="HE14" s="615"/>
      <c r="HF14" s="615"/>
      <c r="HG14" s="615"/>
      <c r="HH14" s="615"/>
      <c r="HI14" s="615"/>
      <c r="HJ14" s="615"/>
      <c r="HK14" s="615"/>
      <c r="HL14" s="615"/>
      <c r="HM14" s="615"/>
      <c r="HN14" s="615"/>
      <c r="HO14" s="615"/>
      <c r="HP14" s="615"/>
      <c r="HQ14" s="615"/>
      <c r="HR14" s="615"/>
      <c r="HS14" s="615"/>
      <c r="HT14" s="615"/>
      <c r="HU14" s="615"/>
      <c r="HV14" s="615"/>
      <c r="HW14" s="615"/>
      <c r="HX14" s="615"/>
      <c r="HY14" s="615"/>
      <c r="HZ14" s="615"/>
      <c r="IA14" s="615"/>
      <c r="IB14" s="615"/>
      <c r="IC14" s="615"/>
      <c r="ID14" s="615"/>
      <c r="IE14" s="615"/>
      <c r="IF14" s="615"/>
      <c r="IG14" s="615"/>
      <c r="IH14" s="615"/>
      <c r="II14" s="615"/>
      <c r="IJ14" s="615"/>
      <c r="IK14" s="615"/>
      <c r="IL14" s="615"/>
      <c r="IM14" s="615"/>
      <c r="IN14" s="615"/>
      <c r="IO14" s="615"/>
      <c r="IP14" s="615"/>
      <c r="IQ14" s="615"/>
      <c r="IR14" s="615"/>
      <c r="IS14" s="615"/>
    </row>
    <row r="15" spans="1:253">
      <c r="A15" s="623"/>
      <c r="B15" s="624" t="s">
        <v>470</v>
      </c>
      <c r="C15" s="630"/>
      <c r="D15" s="631">
        <f>SUM(D16:D128)</f>
        <v>1645000</v>
      </c>
      <c r="E15" s="631"/>
      <c r="F15" s="631">
        <f t="shared" ref="F15:N15" si="3">SUM(F16:F128)</f>
        <v>548526.30000000005</v>
      </c>
      <c r="G15" s="631">
        <f t="shared" si="3"/>
        <v>1096473.7</v>
      </c>
      <c r="H15" s="629">
        <v>0</v>
      </c>
      <c r="I15" s="631">
        <f t="shared" si="3"/>
        <v>1096473.7</v>
      </c>
      <c r="J15" s="631"/>
      <c r="K15" s="631"/>
      <c r="L15" s="631">
        <f>SUM(L16:L128)</f>
        <v>99167.369999999981</v>
      </c>
      <c r="M15" s="631">
        <f t="shared" si="3"/>
        <v>580205.49000000011</v>
      </c>
      <c r="N15" s="631">
        <f t="shared" si="3"/>
        <v>417100.84000000008</v>
      </c>
      <c r="O15" s="632" t="s">
        <v>1678</v>
      </c>
      <c r="P15" s="633"/>
      <c r="Q15" s="633"/>
      <c r="R15" s="633"/>
      <c r="S15" s="633"/>
      <c r="T15" s="633"/>
      <c r="U15" s="633"/>
      <c r="V15" s="633"/>
      <c r="W15" s="633"/>
      <c r="X15" s="633"/>
      <c r="Y15" s="633"/>
      <c r="Z15" s="633"/>
      <c r="AA15" s="633"/>
      <c r="AB15" s="633"/>
      <c r="AC15" s="633"/>
      <c r="AD15" s="633"/>
      <c r="AE15" s="633"/>
      <c r="AF15" s="633"/>
      <c r="AG15" s="633"/>
      <c r="AH15" s="633"/>
      <c r="AI15" s="633"/>
      <c r="AJ15" s="633"/>
      <c r="AK15" s="633"/>
      <c r="AL15" s="633"/>
      <c r="AM15" s="633"/>
      <c r="AN15" s="633"/>
      <c r="AO15" s="633"/>
      <c r="AP15" s="633"/>
      <c r="AQ15" s="633"/>
      <c r="AR15" s="633"/>
      <c r="AS15" s="633"/>
      <c r="AT15" s="633"/>
      <c r="AU15" s="633"/>
      <c r="AV15" s="633"/>
      <c r="AW15" s="633"/>
      <c r="AX15" s="633"/>
      <c r="AY15" s="633"/>
      <c r="AZ15" s="633"/>
      <c r="BA15" s="633"/>
      <c r="BB15" s="633"/>
      <c r="BC15" s="633"/>
      <c r="BD15" s="633"/>
      <c r="BE15" s="633"/>
      <c r="BF15" s="633"/>
      <c r="BG15" s="633"/>
      <c r="BH15" s="633"/>
      <c r="BI15" s="633"/>
      <c r="BJ15" s="633"/>
      <c r="BK15" s="633"/>
      <c r="BL15" s="633"/>
      <c r="BM15" s="633"/>
      <c r="BN15" s="633"/>
      <c r="BO15" s="633"/>
      <c r="BP15" s="633"/>
      <c r="BQ15" s="633"/>
      <c r="BR15" s="633"/>
      <c r="BS15" s="633"/>
      <c r="BT15" s="633"/>
      <c r="BU15" s="633"/>
      <c r="BV15" s="633"/>
      <c r="BW15" s="633"/>
      <c r="BX15" s="633"/>
      <c r="BY15" s="633"/>
      <c r="BZ15" s="633"/>
      <c r="CA15" s="633"/>
      <c r="CB15" s="633"/>
      <c r="CC15" s="633"/>
      <c r="CD15" s="633"/>
      <c r="CE15" s="633"/>
      <c r="CF15" s="633"/>
      <c r="CG15" s="633"/>
      <c r="CH15" s="633"/>
      <c r="CI15" s="633"/>
      <c r="CJ15" s="633"/>
      <c r="CK15" s="633"/>
      <c r="CL15" s="633"/>
      <c r="CM15" s="633"/>
      <c r="CN15" s="633"/>
      <c r="CO15" s="633"/>
      <c r="CP15" s="633"/>
      <c r="CQ15" s="633"/>
      <c r="CR15" s="633"/>
      <c r="CS15" s="633"/>
      <c r="CT15" s="633"/>
      <c r="CU15" s="633"/>
      <c r="CV15" s="633"/>
      <c r="CW15" s="633"/>
      <c r="CX15" s="633"/>
      <c r="CY15" s="633"/>
      <c r="CZ15" s="633"/>
      <c r="DA15" s="633"/>
      <c r="DB15" s="633"/>
      <c r="DC15" s="633"/>
      <c r="DD15" s="633"/>
      <c r="DE15" s="633"/>
      <c r="DF15" s="633"/>
      <c r="DG15" s="633"/>
      <c r="DH15" s="633"/>
      <c r="DI15" s="633"/>
      <c r="DJ15" s="633"/>
      <c r="DK15" s="633"/>
      <c r="DL15" s="633"/>
      <c r="DM15" s="633"/>
      <c r="DN15" s="633"/>
      <c r="DO15" s="633"/>
      <c r="DP15" s="633"/>
      <c r="DQ15" s="633"/>
      <c r="DR15" s="633"/>
      <c r="DS15" s="633"/>
      <c r="DT15" s="633"/>
      <c r="DU15" s="633"/>
      <c r="DV15" s="633"/>
      <c r="DW15" s="633"/>
      <c r="DX15" s="633"/>
      <c r="DY15" s="633"/>
      <c r="DZ15" s="633"/>
      <c r="EA15" s="633"/>
      <c r="EB15" s="633"/>
      <c r="EC15" s="633"/>
      <c r="ED15" s="633"/>
      <c r="EE15" s="633"/>
      <c r="EF15" s="633"/>
      <c r="EG15" s="633"/>
      <c r="EH15" s="633"/>
      <c r="EI15" s="633"/>
      <c r="EJ15" s="633"/>
      <c r="EK15" s="633"/>
      <c r="EL15" s="633"/>
      <c r="EM15" s="633"/>
      <c r="EN15" s="633"/>
      <c r="EO15" s="633"/>
      <c r="EP15" s="633"/>
      <c r="EQ15" s="633"/>
      <c r="ER15" s="633"/>
      <c r="ES15" s="633"/>
      <c r="ET15" s="633"/>
      <c r="EU15" s="633"/>
      <c r="EV15" s="633"/>
      <c r="EW15" s="633"/>
      <c r="EX15" s="633"/>
      <c r="EY15" s="633"/>
      <c r="EZ15" s="633"/>
      <c r="FA15" s="633"/>
      <c r="FB15" s="633"/>
      <c r="FC15" s="633"/>
      <c r="FD15" s="633"/>
      <c r="FE15" s="633"/>
      <c r="FF15" s="633"/>
      <c r="FG15" s="633"/>
      <c r="FH15" s="633"/>
      <c r="FI15" s="633"/>
      <c r="FJ15" s="633"/>
      <c r="FK15" s="633"/>
      <c r="FL15" s="633"/>
      <c r="FM15" s="633"/>
      <c r="FN15" s="633"/>
      <c r="FO15" s="633"/>
      <c r="FP15" s="633"/>
      <c r="FQ15" s="633"/>
      <c r="FR15" s="633"/>
      <c r="FS15" s="633"/>
      <c r="FT15" s="633"/>
      <c r="FU15" s="633"/>
      <c r="FV15" s="633"/>
      <c r="FW15" s="633"/>
      <c r="FX15" s="633"/>
      <c r="FY15" s="633"/>
      <c r="FZ15" s="633"/>
      <c r="GA15" s="633"/>
      <c r="GB15" s="633"/>
      <c r="GC15" s="633"/>
      <c r="GD15" s="633"/>
      <c r="GE15" s="633"/>
      <c r="GF15" s="633"/>
      <c r="GG15" s="633"/>
      <c r="GH15" s="633"/>
      <c r="GI15" s="633"/>
      <c r="GJ15" s="633"/>
      <c r="GK15" s="633"/>
      <c r="GL15" s="633"/>
      <c r="GM15" s="633"/>
      <c r="GN15" s="633"/>
      <c r="GO15" s="633"/>
      <c r="GP15" s="633"/>
      <c r="GQ15" s="633"/>
      <c r="GR15" s="633"/>
      <c r="GS15" s="633"/>
      <c r="GT15" s="633"/>
      <c r="GU15" s="633"/>
      <c r="GV15" s="633"/>
      <c r="GW15" s="633"/>
      <c r="GX15" s="633"/>
      <c r="GY15" s="633"/>
      <c r="GZ15" s="633"/>
      <c r="HA15" s="633"/>
      <c r="HB15" s="633"/>
      <c r="HC15" s="633"/>
      <c r="HD15" s="633"/>
      <c r="HE15" s="633"/>
      <c r="HF15" s="633"/>
      <c r="HG15" s="633"/>
      <c r="HH15" s="633"/>
      <c r="HI15" s="633"/>
      <c r="HJ15" s="633"/>
      <c r="HK15" s="633"/>
      <c r="HL15" s="633"/>
      <c r="HM15" s="633"/>
      <c r="HN15" s="633"/>
      <c r="HO15" s="633"/>
      <c r="HP15" s="633"/>
      <c r="HQ15" s="633"/>
      <c r="HR15" s="633"/>
      <c r="HS15" s="633"/>
      <c r="HT15" s="633"/>
      <c r="HU15" s="633"/>
      <c r="HV15" s="633"/>
      <c r="HW15" s="633"/>
      <c r="HX15" s="633"/>
      <c r="HY15" s="633"/>
      <c r="HZ15" s="633"/>
      <c r="IA15" s="633"/>
      <c r="IB15" s="633"/>
      <c r="IC15" s="633"/>
      <c r="ID15" s="633"/>
      <c r="IE15" s="633"/>
      <c r="IF15" s="633"/>
      <c r="IG15" s="633"/>
      <c r="IH15" s="633"/>
      <c r="II15" s="633"/>
      <c r="IJ15" s="633"/>
      <c r="IK15" s="633"/>
      <c r="IL15" s="633"/>
      <c r="IM15" s="633"/>
      <c r="IN15" s="633"/>
      <c r="IO15" s="633"/>
      <c r="IP15" s="633"/>
      <c r="IQ15" s="633"/>
      <c r="IR15" s="633"/>
      <c r="IS15" s="633"/>
    </row>
    <row r="16" spans="1:253">
      <c r="A16" s="623" t="s">
        <v>556</v>
      </c>
      <c r="B16" s="624" t="s">
        <v>1679</v>
      </c>
      <c r="C16" s="634"/>
      <c r="D16" s="635"/>
      <c r="E16" s="627"/>
      <c r="F16" s="635"/>
      <c r="G16" s="635"/>
      <c r="H16" s="629"/>
      <c r="I16" s="635"/>
      <c r="J16" s="631"/>
      <c r="K16" s="631"/>
      <c r="L16" s="635"/>
      <c r="M16" s="635"/>
      <c r="N16" s="635"/>
      <c r="O16" s="626"/>
      <c r="P16" s="636"/>
      <c r="Q16" s="636"/>
      <c r="R16" s="636"/>
      <c r="S16" s="636"/>
      <c r="T16" s="636"/>
      <c r="U16" s="636"/>
      <c r="V16" s="636"/>
      <c r="W16" s="636"/>
      <c r="X16" s="636"/>
      <c r="Y16" s="636"/>
      <c r="Z16" s="636"/>
      <c r="AA16" s="636"/>
      <c r="AB16" s="636"/>
      <c r="AC16" s="636"/>
      <c r="AD16" s="636"/>
      <c r="AE16" s="636"/>
      <c r="AF16" s="636"/>
      <c r="AG16" s="636"/>
      <c r="AH16" s="636"/>
      <c r="AI16" s="636"/>
      <c r="AJ16" s="636"/>
      <c r="AK16" s="636"/>
      <c r="AL16" s="636"/>
      <c r="AM16" s="636"/>
      <c r="AN16" s="636"/>
      <c r="AO16" s="636"/>
      <c r="AP16" s="636"/>
      <c r="AQ16" s="636"/>
      <c r="AR16" s="636"/>
      <c r="AS16" s="636"/>
      <c r="AT16" s="636"/>
      <c r="AU16" s="636"/>
      <c r="AV16" s="636"/>
      <c r="AW16" s="636"/>
      <c r="AX16" s="636"/>
      <c r="AY16" s="636"/>
      <c r="AZ16" s="636"/>
      <c r="BA16" s="636"/>
      <c r="BB16" s="636"/>
      <c r="BC16" s="636"/>
      <c r="BD16" s="636"/>
      <c r="BE16" s="636"/>
      <c r="BF16" s="636"/>
      <c r="BG16" s="636"/>
      <c r="BH16" s="636"/>
      <c r="BI16" s="636"/>
      <c r="BJ16" s="636"/>
      <c r="BK16" s="636"/>
      <c r="BL16" s="636"/>
      <c r="BM16" s="636"/>
      <c r="BN16" s="636"/>
      <c r="BO16" s="636"/>
      <c r="BP16" s="636"/>
      <c r="BQ16" s="636"/>
      <c r="BR16" s="636"/>
      <c r="BS16" s="636"/>
      <c r="BT16" s="636"/>
      <c r="BU16" s="636"/>
      <c r="BV16" s="636"/>
      <c r="BW16" s="636"/>
      <c r="BX16" s="636"/>
      <c r="BY16" s="636"/>
      <c r="BZ16" s="636"/>
      <c r="CA16" s="636"/>
      <c r="CB16" s="636"/>
      <c r="CC16" s="636"/>
      <c r="CD16" s="636"/>
      <c r="CE16" s="636"/>
      <c r="CF16" s="636"/>
      <c r="CG16" s="636"/>
      <c r="CH16" s="636"/>
      <c r="CI16" s="636"/>
      <c r="CJ16" s="636"/>
      <c r="CK16" s="636"/>
      <c r="CL16" s="636"/>
      <c r="CM16" s="636"/>
      <c r="CN16" s="636"/>
      <c r="CO16" s="636"/>
      <c r="CP16" s="636"/>
      <c r="CQ16" s="636"/>
      <c r="CR16" s="636"/>
      <c r="CS16" s="636"/>
      <c r="CT16" s="636"/>
      <c r="CU16" s="636"/>
      <c r="CV16" s="636"/>
      <c r="CW16" s="636"/>
      <c r="CX16" s="636"/>
      <c r="CY16" s="636"/>
      <c r="CZ16" s="636"/>
      <c r="DA16" s="636"/>
      <c r="DB16" s="636"/>
      <c r="DC16" s="636"/>
      <c r="DD16" s="636"/>
      <c r="DE16" s="636"/>
      <c r="DF16" s="636"/>
      <c r="DG16" s="636"/>
      <c r="DH16" s="636"/>
      <c r="DI16" s="636"/>
      <c r="DJ16" s="636"/>
      <c r="DK16" s="636"/>
      <c r="DL16" s="636"/>
      <c r="DM16" s="636"/>
      <c r="DN16" s="636"/>
      <c r="DO16" s="636"/>
      <c r="DP16" s="636"/>
      <c r="DQ16" s="636"/>
      <c r="DR16" s="636"/>
      <c r="DS16" s="636"/>
      <c r="DT16" s="636"/>
      <c r="DU16" s="636"/>
      <c r="DV16" s="636"/>
      <c r="DW16" s="636"/>
      <c r="DX16" s="636"/>
      <c r="DY16" s="636"/>
      <c r="DZ16" s="636"/>
      <c r="EA16" s="636"/>
      <c r="EB16" s="636"/>
      <c r="EC16" s="636"/>
      <c r="ED16" s="636"/>
      <c r="EE16" s="636"/>
      <c r="EF16" s="636"/>
      <c r="EG16" s="636"/>
      <c r="EH16" s="636"/>
      <c r="EI16" s="636"/>
      <c r="EJ16" s="636"/>
      <c r="EK16" s="636"/>
      <c r="EL16" s="636"/>
      <c r="EM16" s="636"/>
      <c r="EN16" s="636"/>
      <c r="EO16" s="636"/>
      <c r="EP16" s="636"/>
      <c r="EQ16" s="636"/>
      <c r="ER16" s="636"/>
      <c r="ES16" s="636"/>
      <c r="ET16" s="636"/>
      <c r="EU16" s="636"/>
      <c r="EV16" s="636"/>
      <c r="EW16" s="636"/>
      <c r="EX16" s="636"/>
      <c r="EY16" s="636"/>
      <c r="EZ16" s="636"/>
      <c r="FA16" s="636"/>
      <c r="FB16" s="636"/>
      <c r="FC16" s="636"/>
      <c r="FD16" s="636"/>
      <c r="FE16" s="636"/>
      <c r="FF16" s="636"/>
      <c r="FG16" s="636"/>
      <c r="FH16" s="636"/>
      <c r="FI16" s="636"/>
      <c r="FJ16" s="636"/>
      <c r="FK16" s="636"/>
      <c r="FL16" s="636"/>
      <c r="FM16" s="636"/>
      <c r="FN16" s="636"/>
      <c r="FO16" s="636"/>
      <c r="FP16" s="636"/>
      <c r="FQ16" s="636"/>
      <c r="FR16" s="636"/>
      <c r="FS16" s="636"/>
      <c r="FT16" s="636"/>
      <c r="FU16" s="636"/>
      <c r="FV16" s="636"/>
      <c r="FW16" s="636"/>
      <c r="FX16" s="636"/>
      <c r="FY16" s="636"/>
      <c r="FZ16" s="636"/>
      <c r="GA16" s="636"/>
      <c r="GB16" s="636"/>
      <c r="GC16" s="636"/>
      <c r="GD16" s="636"/>
      <c r="GE16" s="636"/>
      <c r="GF16" s="636"/>
      <c r="GG16" s="636"/>
      <c r="GH16" s="636"/>
      <c r="GI16" s="636"/>
      <c r="GJ16" s="636"/>
      <c r="GK16" s="636"/>
      <c r="GL16" s="636"/>
      <c r="GM16" s="636"/>
      <c r="GN16" s="636"/>
      <c r="GO16" s="636"/>
      <c r="GP16" s="636"/>
      <c r="GQ16" s="636"/>
      <c r="GR16" s="636"/>
      <c r="GS16" s="636"/>
      <c r="GT16" s="636"/>
      <c r="GU16" s="636"/>
      <c r="GV16" s="636"/>
      <c r="GW16" s="636"/>
      <c r="GX16" s="636"/>
      <c r="GY16" s="636"/>
      <c r="GZ16" s="636"/>
      <c r="HA16" s="636"/>
      <c r="HB16" s="636"/>
      <c r="HC16" s="636"/>
      <c r="HD16" s="636"/>
      <c r="HE16" s="636"/>
      <c r="HF16" s="636"/>
      <c r="HG16" s="636"/>
      <c r="HH16" s="636"/>
      <c r="HI16" s="636"/>
      <c r="HJ16" s="636"/>
      <c r="HK16" s="636"/>
      <c r="HL16" s="636"/>
      <c r="HM16" s="636"/>
      <c r="HN16" s="636"/>
      <c r="HO16" s="636"/>
      <c r="HP16" s="636"/>
      <c r="HQ16" s="636"/>
      <c r="HR16" s="636"/>
      <c r="HS16" s="636"/>
      <c r="HT16" s="636"/>
      <c r="HU16" s="636"/>
      <c r="HV16" s="636"/>
      <c r="HW16" s="636"/>
      <c r="HX16" s="636"/>
      <c r="HY16" s="636"/>
      <c r="HZ16" s="636"/>
      <c r="IA16" s="636"/>
      <c r="IB16" s="636"/>
      <c r="IC16" s="636"/>
      <c r="ID16" s="636"/>
      <c r="IE16" s="636"/>
      <c r="IF16" s="636"/>
      <c r="IG16" s="636"/>
      <c r="IH16" s="636"/>
      <c r="II16" s="636"/>
      <c r="IJ16" s="636"/>
      <c r="IK16" s="636"/>
      <c r="IL16" s="636"/>
      <c r="IM16" s="636"/>
      <c r="IN16" s="636"/>
      <c r="IO16" s="636"/>
      <c r="IP16" s="636"/>
      <c r="IQ16" s="636"/>
      <c r="IR16" s="636"/>
      <c r="IS16" s="636"/>
    </row>
    <row r="17" spans="1:15">
      <c r="A17" s="637"/>
      <c r="B17" s="638" t="s">
        <v>1680</v>
      </c>
      <c r="C17" s="639" t="s">
        <v>1656</v>
      </c>
      <c r="D17" s="640">
        <v>36000</v>
      </c>
      <c r="E17" s="641">
        <v>0</v>
      </c>
      <c r="F17" s="642">
        <f>D17*E17</f>
        <v>0</v>
      </c>
      <c r="G17" s="642">
        <f>D17-F17</f>
        <v>36000</v>
      </c>
      <c r="H17" s="643">
        <f>H15</f>
        <v>0</v>
      </c>
      <c r="I17" s="642">
        <f>G17-G17*H17</f>
        <v>36000</v>
      </c>
      <c r="J17" s="643">
        <v>0</v>
      </c>
      <c r="K17" s="644">
        <v>0</v>
      </c>
      <c r="L17" s="645">
        <f>I17*J17</f>
        <v>0</v>
      </c>
      <c r="M17" s="642">
        <f>I17*K17</f>
        <v>0</v>
      </c>
      <c r="N17" s="642">
        <f>I17-L17-M17</f>
        <v>36000</v>
      </c>
      <c r="O17" s="628" t="s">
        <v>1802</v>
      </c>
    </row>
    <row r="18" spans="1:15" ht="25.5">
      <c r="A18" s="637"/>
      <c r="B18" s="638" t="s">
        <v>1681</v>
      </c>
      <c r="C18" s="639" t="s">
        <v>1656</v>
      </c>
      <c r="D18" s="640">
        <v>23558</v>
      </c>
      <c r="E18" s="641">
        <v>0</v>
      </c>
      <c r="F18" s="642">
        <f t="shared" ref="F18:F69" si="4">D18*E18</f>
        <v>0</v>
      </c>
      <c r="G18" s="642">
        <f t="shared" ref="G18:G69" si="5">D18-F18</f>
        <v>23558</v>
      </c>
      <c r="H18" s="643">
        <f t="shared" ref="H18:H80" si="6">H17</f>
        <v>0</v>
      </c>
      <c r="I18" s="642">
        <f t="shared" ref="I18:I80" si="7">G18-G18*H18</f>
        <v>23558</v>
      </c>
      <c r="J18" s="643">
        <v>0.1</v>
      </c>
      <c r="K18" s="644">
        <v>0.4</v>
      </c>
      <c r="L18" s="645">
        <f t="shared" ref="L18:L82" si="8">I18*J18</f>
        <v>2355.8000000000002</v>
      </c>
      <c r="M18" s="642">
        <f t="shared" ref="M18:M82" si="9">I18*K18</f>
        <v>9423.2000000000007</v>
      </c>
      <c r="N18" s="642">
        <f t="shared" ref="N18:N82" si="10">I18-L18-M18</f>
        <v>11779</v>
      </c>
      <c r="O18" s="626"/>
    </row>
    <row r="19" spans="1:15">
      <c r="A19" s="637"/>
      <c r="B19" s="638" t="s">
        <v>1682</v>
      </c>
      <c r="C19" s="639" t="s">
        <v>1656</v>
      </c>
      <c r="D19" s="640">
        <v>21647</v>
      </c>
      <c r="E19" s="641">
        <v>0</v>
      </c>
      <c r="F19" s="642">
        <f t="shared" si="4"/>
        <v>0</v>
      </c>
      <c r="G19" s="642">
        <f t="shared" si="5"/>
        <v>21647</v>
      </c>
      <c r="H19" s="643">
        <f t="shared" si="6"/>
        <v>0</v>
      </c>
      <c r="I19" s="642">
        <f t="shared" si="7"/>
        <v>21647</v>
      </c>
      <c r="J19" s="643">
        <v>0.1</v>
      </c>
      <c r="K19" s="644">
        <v>0.4</v>
      </c>
      <c r="L19" s="645">
        <f t="shared" si="8"/>
        <v>2164.7000000000003</v>
      </c>
      <c r="M19" s="642">
        <f t="shared" si="9"/>
        <v>8658.8000000000011</v>
      </c>
      <c r="N19" s="642">
        <f t="shared" si="10"/>
        <v>10823.499999999998</v>
      </c>
      <c r="O19" s="626"/>
    </row>
    <row r="20" spans="1:15" ht="25.5">
      <c r="A20" s="637"/>
      <c r="B20" s="638" t="s">
        <v>1683</v>
      </c>
      <c r="C20" s="639" t="s">
        <v>1656</v>
      </c>
      <c r="D20" s="640">
        <v>20845</v>
      </c>
      <c r="E20" s="641">
        <v>0</v>
      </c>
      <c r="F20" s="642">
        <f t="shared" si="4"/>
        <v>0</v>
      </c>
      <c r="G20" s="642">
        <f t="shared" si="5"/>
        <v>20845</v>
      </c>
      <c r="H20" s="643">
        <f t="shared" si="6"/>
        <v>0</v>
      </c>
      <c r="I20" s="642">
        <f t="shared" si="7"/>
        <v>20845</v>
      </c>
      <c r="J20" s="643">
        <v>0</v>
      </c>
      <c r="K20" s="644">
        <v>0</v>
      </c>
      <c r="L20" s="645">
        <f t="shared" si="8"/>
        <v>0</v>
      </c>
      <c r="M20" s="642">
        <f t="shared" si="9"/>
        <v>0</v>
      </c>
      <c r="N20" s="642">
        <f t="shared" si="10"/>
        <v>20845</v>
      </c>
      <c r="O20" s="628" t="s">
        <v>1803</v>
      </c>
    </row>
    <row r="21" spans="1:15">
      <c r="A21" s="637"/>
      <c r="B21" s="638" t="s">
        <v>1684</v>
      </c>
      <c r="C21" s="639" t="s">
        <v>1656</v>
      </c>
      <c r="D21" s="640">
        <v>20362</v>
      </c>
      <c r="E21" s="641">
        <v>0</v>
      </c>
      <c r="F21" s="642">
        <f t="shared" si="4"/>
        <v>0</v>
      </c>
      <c r="G21" s="642">
        <f t="shared" si="5"/>
        <v>20362</v>
      </c>
      <c r="H21" s="643">
        <f t="shared" si="6"/>
        <v>0</v>
      </c>
      <c r="I21" s="642">
        <f t="shared" si="7"/>
        <v>20362</v>
      </c>
      <c r="J21" s="643">
        <v>0.1</v>
      </c>
      <c r="K21" s="644">
        <v>0.4</v>
      </c>
      <c r="L21" s="645">
        <f t="shared" si="8"/>
        <v>2036.2</v>
      </c>
      <c r="M21" s="642">
        <f t="shared" si="9"/>
        <v>8144.8</v>
      </c>
      <c r="N21" s="642">
        <f t="shared" si="10"/>
        <v>10181</v>
      </c>
      <c r="O21" s="628"/>
    </row>
    <row r="22" spans="1:15" ht="25.5">
      <c r="A22" s="637"/>
      <c r="B22" s="638" t="s">
        <v>1685</v>
      </c>
      <c r="C22" s="639" t="s">
        <v>1656</v>
      </c>
      <c r="D22" s="640">
        <v>19802</v>
      </c>
      <c r="E22" s="641">
        <v>0</v>
      </c>
      <c r="F22" s="642">
        <f t="shared" si="4"/>
        <v>0</v>
      </c>
      <c r="G22" s="642">
        <f t="shared" si="5"/>
        <v>19802</v>
      </c>
      <c r="H22" s="643">
        <f t="shared" si="6"/>
        <v>0</v>
      </c>
      <c r="I22" s="642">
        <f t="shared" si="7"/>
        <v>19802</v>
      </c>
      <c r="J22" s="643">
        <v>0</v>
      </c>
      <c r="K22" s="644">
        <v>0</v>
      </c>
      <c r="L22" s="645">
        <f t="shared" si="8"/>
        <v>0</v>
      </c>
      <c r="M22" s="642">
        <f t="shared" si="9"/>
        <v>0</v>
      </c>
      <c r="N22" s="642">
        <f t="shared" si="10"/>
        <v>19802</v>
      </c>
      <c r="O22" s="628" t="s">
        <v>1803</v>
      </c>
    </row>
    <row r="23" spans="1:15" ht="25.5">
      <c r="A23" s="637"/>
      <c r="B23" s="638" t="s">
        <v>1686</v>
      </c>
      <c r="C23" s="639" t="s">
        <v>1656</v>
      </c>
      <c r="D23" s="640">
        <v>19313</v>
      </c>
      <c r="E23" s="641">
        <v>0</v>
      </c>
      <c r="F23" s="642">
        <f t="shared" si="4"/>
        <v>0</v>
      </c>
      <c r="G23" s="642">
        <f t="shared" si="5"/>
        <v>19313</v>
      </c>
      <c r="H23" s="643">
        <f t="shared" si="6"/>
        <v>0</v>
      </c>
      <c r="I23" s="642">
        <f t="shared" si="7"/>
        <v>19313</v>
      </c>
      <c r="J23" s="643">
        <v>0.1</v>
      </c>
      <c r="K23" s="644">
        <v>0.4</v>
      </c>
      <c r="L23" s="645">
        <f t="shared" si="8"/>
        <v>1931.3000000000002</v>
      </c>
      <c r="M23" s="642">
        <f t="shared" si="9"/>
        <v>7725.2000000000007</v>
      </c>
      <c r="N23" s="642">
        <f t="shared" si="10"/>
        <v>9656.5</v>
      </c>
      <c r="O23" s="628"/>
    </row>
    <row r="24" spans="1:15">
      <c r="A24" s="637"/>
      <c r="B24" s="638" t="s">
        <v>1687</v>
      </c>
      <c r="C24" s="639" t="s">
        <v>1656</v>
      </c>
      <c r="D24" s="640">
        <v>18900</v>
      </c>
      <c r="E24" s="641">
        <v>0</v>
      </c>
      <c r="F24" s="642">
        <f t="shared" si="4"/>
        <v>0</v>
      </c>
      <c r="G24" s="642">
        <f t="shared" si="5"/>
        <v>18900</v>
      </c>
      <c r="H24" s="643">
        <f t="shared" si="6"/>
        <v>0</v>
      </c>
      <c r="I24" s="642">
        <f t="shared" si="7"/>
        <v>18900</v>
      </c>
      <c r="J24" s="643">
        <v>0.1</v>
      </c>
      <c r="K24" s="644">
        <v>0.7</v>
      </c>
      <c r="L24" s="645">
        <f t="shared" si="8"/>
        <v>1890</v>
      </c>
      <c r="M24" s="642">
        <f t="shared" si="9"/>
        <v>13230</v>
      </c>
      <c r="N24" s="642">
        <f t="shared" si="10"/>
        <v>3780</v>
      </c>
      <c r="O24" s="628"/>
    </row>
    <row r="25" spans="1:15">
      <c r="A25" s="637"/>
      <c r="B25" s="638" t="s">
        <v>1688</v>
      </c>
      <c r="C25" s="639" t="s">
        <v>1656</v>
      </c>
      <c r="D25" s="640">
        <v>16200</v>
      </c>
      <c r="E25" s="641">
        <v>0</v>
      </c>
      <c r="F25" s="642">
        <f t="shared" si="4"/>
        <v>0</v>
      </c>
      <c r="G25" s="642">
        <f t="shared" si="5"/>
        <v>16200</v>
      </c>
      <c r="H25" s="643">
        <f t="shared" si="6"/>
        <v>0</v>
      </c>
      <c r="I25" s="642">
        <f t="shared" si="7"/>
        <v>16200</v>
      </c>
      <c r="J25" s="643">
        <v>0.1</v>
      </c>
      <c r="K25" s="644">
        <v>0.7</v>
      </c>
      <c r="L25" s="645">
        <f t="shared" si="8"/>
        <v>1620</v>
      </c>
      <c r="M25" s="642">
        <f t="shared" si="9"/>
        <v>11340</v>
      </c>
      <c r="N25" s="642">
        <f t="shared" si="10"/>
        <v>3240</v>
      </c>
      <c r="O25" s="628"/>
    </row>
    <row r="26" spans="1:15" ht="25.5">
      <c r="A26" s="637"/>
      <c r="B26" s="638" t="s">
        <v>1689</v>
      </c>
      <c r="C26" s="639" t="s">
        <v>1656</v>
      </c>
      <c r="D26" s="646">
        <v>16049</v>
      </c>
      <c r="E26" s="641">
        <v>0</v>
      </c>
      <c r="F26" s="642">
        <f t="shared" si="4"/>
        <v>0</v>
      </c>
      <c r="G26" s="642">
        <f t="shared" si="5"/>
        <v>16049</v>
      </c>
      <c r="H26" s="643">
        <f t="shared" si="6"/>
        <v>0</v>
      </c>
      <c r="I26" s="642">
        <f t="shared" si="7"/>
        <v>16049</v>
      </c>
      <c r="J26" s="643">
        <v>0.1</v>
      </c>
      <c r="K26" s="644">
        <v>0.4</v>
      </c>
      <c r="L26" s="645">
        <f t="shared" si="8"/>
        <v>1604.9</v>
      </c>
      <c r="M26" s="642">
        <f t="shared" si="9"/>
        <v>6419.6</v>
      </c>
      <c r="N26" s="642">
        <f t="shared" si="10"/>
        <v>8024.5</v>
      </c>
      <c r="O26" s="628"/>
    </row>
    <row r="27" spans="1:15" ht="25.5">
      <c r="A27" s="637"/>
      <c r="B27" s="638" t="s">
        <v>1690</v>
      </c>
      <c r="C27" s="639" t="s">
        <v>1656</v>
      </c>
      <c r="D27" s="640">
        <v>15868</v>
      </c>
      <c r="E27" s="641">
        <v>0</v>
      </c>
      <c r="F27" s="642">
        <f t="shared" si="4"/>
        <v>0</v>
      </c>
      <c r="G27" s="642">
        <f t="shared" si="5"/>
        <v>15868</v>
      </c>
      <c r="H27" s="643">
        <f t="shared" si="6"/>
        <v>0</v>
      </c>
      <c r="I27" s="642">
        <f t="shared" si="7"/>
        <v>15868</v>
      </c>
      <c r="J27" s="643">
        <v>0</v>
      </c>
      <c r="K27" s="644">
        <v>0</v>
      </c>
      <c r="L27" s="645">
        <f t="shared" si="8"/>
        <v>0</v>
      </c>
      <c r="M27" s="642">
        <f t="shared" si="9"/>
        <v>0</v>
      </c>
      <c r="N27" s="642">
        <f t="shared" si="10"/>
        <v>15868</v>
      </c>
      <c r="O27" s="628" t="s">
        <v>1803</v>
      </c>
    </row>
    <row r="28" spans="1:15" ht="25.5">
      <c r="A28" s="637"/>
      <c r="B28" s="638" t="s">
        <v>1691</v>
      </c>
      <c r="C28" s="639" t="s">
        <v>1656</v>
      </c>
      <c r="D28" s="640">
        <v>14635</v>
      </c>
      <c r="E28" s="641">
        <v>0</v>
      </c>
      <c r="F28" s="642">
        <f t="shared" si="4"/>
        <v>0</v>
      </c>
      <c r="G28" s="642">
        <f t="shared" si="5"/>
        <v>14635</v>
      </c>
      <c r="H28" s="643">
        <f t="shared" si="6"/>
        <v>0</v>
      </c>
      <c r="I28" s="642">
        <f t="shared" si="7"/>
        <v>14635</v>
      </c>
      <c r="J28" s="643">
        <v>0.1</v>
      </c>
      <c r="K28" s="644">
        <v>0.4</v>
      </c>
      <c r="L28" s="645">
        <f t="shared" si="8"/>
        <v>1463.5</v>
      </c>
      <c r="M28" s="642">
        <f t="shared" si="9"/>
        <v>5854</v>
      </c>
      <c r="N28" s="642">
        <f t="shared" si="10"/>
        <v>7317.5</v>
      </c>
      <c r="O28" s="628"/>
    </row>
    <row r="29" spans="1:15">
      <c r="A29" s="637"/>
      <c r="B29" s="638" t="s">
        <v>1692</v>
      </c>
      <c r="C29" s="639" t="s">
        <v>1656</v>
      </c>
      <c r="D29" s="640">
        <v>14400</v>
      </c>
      <c r="E29" s="641">
        <v>0</v>
      </c>
      <c r="F29" s="642">
        <f t="shared" si="4"/>
        <v>0</v>
      </c>
      <c r="G29" s="642">
        <f t="shared" si="5"/>
        <v>14400</v>
      </c>
      <c r="H29" s="643">
        <f t="shared" si="6"/>
        <v>0</v>
      </c>
      <c r="I29" s="642">
        <f t="shared" si="7"/>
        <v>14400</v>
      </c>
      <c r="J29" s="643">
        <v>0.1</v>
      </c>
      <c r="K29" s="644">
        <v>0.7</v>
      </c>
      <c r="L29" s="645">
        <f t="shared" si="8"/>
        <v>1440</v>
      </c>
      <c r="M29" s="642">
        <f t="shared" si="9"/>
        <v>10080</v>
      </c>
      <c r="N29" s="642">
        <f t="shared" si="10"/>
        <v>2880</v>
      </c>
      <c r="O29" s="626"/>
    </row>
    <row r="30" spans="1:15" ht="25.5">
      <c r="A30" s="637"/>
      <c r="B30" s="638" t="s">
        <v>1693</v>
      </c>
      <c r="C30" s="639" t="s">
        <v>1656</v>
      </c>
      <c r="D30" s="640">
        <v>11254</v>
      </c>
      <c r="E30" s="641">
        <v>0</v>
      </c>
      <c r="F30" s="642">
        <f t="shared" si="4"/>
        <v>0</v>
      </c>
      <c r="G30" s="642">
        <f t="shared" si="5"/>
        <v>11254</v>
      </c>
      <c r="H30" s="643">
        <f t="shared" si="6"/>
        <v>0</v>
      </c>
      <c r="I30" s="642">
        <f t="shared" si="7"/>
        <v>11254</v>
      </c>
      <c r="J30" s="643">
        <v>0.1</v>
      </c>
      <c r="K30" s="644">
        <v>0.4</v>
      </c>
      <c r="L30" s="645">
        <f t="shared" si="8"/>
        <v>1125.4000000000001</v>
      </c>
      <c r="M30" s="642">
        <f t="shared" si="9"/>
        <v>4501.6000000000004</v>
      </c>
      <c r="N30" s="642">
        <f t="shared" si="10"/>
        <v>5627</v>
      </c>
      <c r="O30" s="626"/>
    </row>
    <row r="31" spans="1:15">
      <c r="A31" s="637"/>
      <c r="B31" s="638" t="s">
        <v>1694</v>
      </c>
      <c r="C31" s="639" t="s">
        <v>1657</v>
      </c>
      <c r="D31" s="640">
        <v>16803</v>
      </c>
      <c r="E31" s="641">
        <v>0</v>
      </c>
      <c r="F31" s="642">
        <f t="shared" si="4"/>
        <v>0</v>
      </c>
      <c r="G31" s="642">
        <f t="shared" si="5"/>
        <v>16803</v>
      </c>
      <c r="H31" s="643">
        <f t="shared" si="6"/>
        <v>0</v>
      </c>
      <c r="I31" s="642">
        <f t="shared" si="7"/>
        <v>16803</v>
      </c>
      <c r="J31" s="643">
        <v>0.1</v>
      </c>
      <c r="K31" s="644">
        <v>0.7</v>
      </c>
      <c r="L31" s="645">
        <f t="shared" si="8"/>
        <v>1680.3000000000002</v>
      </c>
      <c r="M31" s="642">
        <f t="shared" si="9"/>
        <v>11762.099999999999</v>
      </c>
      <c r="N31" s="642">
        <f t="shared" si="10"/>
        <v>3360.6000000000022</v>
      </c>
      <c r="O31" s="628" t="s">
        <v>1695</v>
      </c>
    </row>
    <row r="32" spans="1:15">
      <c r="A32" s="637"/>
      <c r="B32" s="638" t="s">
        <v>1696</v>
      </c>
      <c r="C32" s="639" t="s">
        <v>1657</v>
      </c>
      <c r="D32" s="640">
        <v>9345</v>
      </c>
      <c r="E32" s="641">
        <v>0</v>
      </c>
      <c r="F32" s="642">
        <f t="shared" si="4"/>
        <v>0</v>
      </c>
      <c r="G32" s="642">
        <f t="shared" si="5"/>
        <v>9345</v>
      </c>
      <c r="H32" s="643">
        <f t="shared" si="6"/>
        <v>0</v>
      </c>
      <c r="I32" s="642">
        <f t="shared" si="7"/>
        <v>9345</v>
      </c>
      <c r="J32" s="643">
        <v>0.1</v>
      </c>
      <c r="K32" s="644">
        <v>0.8</v>
      </c>
      <c r="L32" s="645">
        <f t="shared" si="8"/>
        <v>934.5</v>
      </c>
      <c r="M32" s="642">
        <f t="shared" si="9"/>
        <v>7476</v>
      </c>
      <c r="N32" s="642">
        <f t="shared" si="10"/>
        <v>934.5</v>
      </c>
      <c r="O32" s="626"/>
    </row>
    <row r="33" spans="1:253">
      <c r="A33" s="637"/>
      <c r="B33" s="638" t="s">
        <v>1697</v>
      </c>
      <c r="C33" s="639" t="s">
        <v>1657</v>
      </c>
      <c r="D33" s="640">
        <v>6182</v>
      </c>
      <c r="E33" s="641">
        <v>0</v>
      </c>
      <c r="F33" s="642">
        <f t="shared" si="4"/>
        <v>0</v>
      </c>
      <c r="G33" s="642">
        <f t="shared" si="5"/>
        <v>6182</v>
      </c>
      <c r="H33" s="643">
        <f t="shared" si="6"/>
        <v>0</v>
      </c>
      <c r="I33" s="642">
        <f t="shared" si="7"/>
        <v>6182</v>
      </c>
      <c r="J33" s="643">
        <v>0.1</v>
      </c>
      <c r="K33" s="644">
        <v>0.8</v>
      </c>
      <c r="L33" s="645">
        <f t="shared" si="8"/>
        <v>618.20000000000005</v>
      </c>
      <c r="M33" s="642">
        <f t="shared" si="9"/>
        <v>4945.6000000000004</v>
      </c>
      <c r="N33" s="642">
        <f t="shared" si="10"/>
        <v>618.19999999999982</v>
      </c>
      <c r="O33" s="626"/>
    </row>
    <row r="34" spans="1:253">
      <c r="A34" s="637"/>
      <c r="B34" s="638" t="s">
        <v>1698</v>
      </c>
      <c r="C34" s="639" t="s">
        <v>1657</v>
      </c>
      <c r="D34" s="640">
        <v>5426</v>
      </c>
      <c r="E34" s="641">
        <v>0</v>
      </c>
      <c r="F34" s="642">
        <f t="shared" si="4"/>
        <v>0</v>
      </c>
      <c r="G34" s="642">
        <f t="shared" si="5"/>
        <v>5426</v>
      </c>
      <c r="H34" s="643">
        <f t="shared" si="6"/>
        <v>0</v>
      </c>
      <c r="I34" s="642">
        <f t="shared" si="7"/>
        <v>5426</v>
      </c>
      <c r="J34" s="643">
        <v>0.1</v>
      </c>
      <c r="K34" s="644">
        <v>0.8</v>
      </c>
      <c r="L34" s="645">
        <f t="shared" si="8"/>
        <v>542.6</v>
      </c>
      <c r="M34" s="642">
        <f t="shared" si="9"/>
        <v>4340.8</v>
      </c>
      <c r="N34" s="642">
        <f t="shared" si="10"/>
        <v>542.59999999999945</v>
      </c>
      <c r="O34" s="626"/>
    </row>
    <row r="35" spans="1:253" ht="25.5">
      <c r="A35" s="637"/>
      <c r="B35" s="638" t="s">
        <v>1699</v>
      </c>
      <c r="C35" s="639" t="s">
        <v>1658</v>
      </c>
      <c r="D35" s="640">
        <v>9000</v>
      </c>
      <c r="E35" s="641">
        <v>0</v>
      </c>
      <c r="F35" s="642">
        <f t="shared" si="4"/>
        <v>0</v>
      </c>
      <c r="G35" s="642">
        <f t="shared" si="5"/>
        <v>9000</v>
      </c>
      <c r="H35" s="643">
        <f t="shared" si="6"/>
        <v>0</v>
      </c>
      <c r="I35" s="642">
        <f t="shared" si="7"/>
        <v>9000</v>
      </c>
      <c r="J35" s="643">
        <v>0</v>
      </c>
      <c r="K35" s="644">
        <v>1</v>
      </c>
      <c r="L35" s="645">
        <f t="shared" si="8"/>
        <v>0</v>
      </c>
      <c r="M35" s="642">
        <f t="shared" si="9"/>
        <v>9000</v>
      </c>
      <c r="N35" s="642">
        <f t="shared" si="10"/>
        <v>0</v>
      </c>
      <c r="O35" s="628" t="s">
        <v>1700</v>
      </c>
    </row>
    <row r="36" spans="1:253" ht="25.5">
      <c r="A36" s="637"/>
      <c r="B36" s="638" t="s">
        <v>1701</v>
      </c>
      <c r="C36" s="639" t="s">
        <v>1658</v>
      </c>
      <c r="D36" s="640">
        <v>3285</v>
      </c>
      <c r="E36" s="641">
        <v>0</v>
      </c>
      <c r="F36" s="642">
        <f t="shared" si="4"/>
        <v>0</v>
      </c>
      <c r="G36" s="642">
        <f t="shared" si="5"/>
        <v>3285</v>
      </c>
      <c r="H36" s="643">
        <f t="shared" si="6"/>
        <v>0</v>
      </c>
      <c r="I36" s="642">
        <f t="shared" si="7"/>
        <v>3285</v>
      </c>
      <c r="J36" s="643">
        <v>0</v>
      </c>
      <c r="K36" s="644">
        <v>1</v>
      </c>
      <c r="L36" s="645">
        <f t="shared" si="8"/>
        <v>0</v>
      </c>
      <c r="M36" s="642">
        <f t="shared" si="9"/>
        <v>3285</v>
      </c>
      <c r="N36" s="642">
        <f t="shared" si="10"/>
        <v>0</v>
      </c>
      <c r="O36" s="628" t="s">
        <v>1700</v>
      </c>
    </row>
    <row r="37" spans="1:253" ht="25.5">
      <c r="A37" s="637"/>
      <c r="B37" s="638" t="s">
        <v>1702</v>
      </c>
      <c r="C37" s="639" t="s">
        <v>1659</v>
      </c>
      <c r="D37" s="640">
        <v>25209</v>
      </c>
      <c r="E37" s="641">
        <v>0</v>
      </c>
      <c r="F37" s="642">
        <f t="shared" si="4"/>
        <v>0</v>
      </c>
      <c r="G37" s="642">
        <f>D37*4/5</f>
        <v>20167.2</v>
      </c>
      <c r="H37" s="643">
        <f t="shared" si="6"/>
        <v>0</v>
      </c>
      <c r="I37" s="642">
        <f t="shared" si="7"/>
        <v>20167.2</v>
      </c>
      <c r="J37" s="643">
        <v>0.1</v>
      </c>
      <c r="K37" s="644">
        <v>0.6</v>
      </c>
      <c r="L37" s="645">
        <f t="shared" si="8"/>
        <v>2016.7200000000003</v>
      </c>
      <c r="M37" s="642">
        <f t="shared" si="9"/>
        <v>12100.32</v>
      </c>
      <c r="N37" s="642">
        <f t="shared" si="10"/>
        <v>6050.16</v>
      </c>
      <c r="O37" s="626"/>
    </row>
    <row r="38" spans="1:253" ht="25.5">
      <c r="A38" s="637"/>
      <c r="B38" s="638" t="s">
        <v>1703</v>
      </c>
      <c r="C38" s="639" t="s">
        <v>1659</v>
      </c>
      <c r="D38" s="640"/>
      <c r="E38" s="641"/>
      <c r="F38" s="642"/>
      <c r="G38" s="642">
        <f>D37/5</f>
        <v>5041.8</v>
      </c>
      <c r="H38" s="643">
        <f t="shared" si="6"/>
        <v>0</v>
      </c>
      <c r="I38" s="642">
        <f t="shared" si="7"/>
        <v>5041.8</v>
      </c>
      <c r="J38" s="643">
        <v>0.1</v>
      </c>
      <c r="K38" s="644">
        <v>0.7</v>
      </c>
      <c r="L38" s="645">
        <f t="shared" si="8"/>
        <v>504.18000000000006</v>
      </c>
      <c r="M38" s="642">
        <f t="shared" si="9"/>
        <v>3529.2599999999998</v>
      </c>
      <c r="N38" s="642">
        <f t="shared" si="10"/>
        <v>1008.3600000000001</v>
      </c>
      <c r="O38" s="626"/>
    </row>
    <row r="39" spans="1:253">
      <c r="A39" s="637"/>
      <c r="B39" s="638" t="s">
        <v>1704</v>
      </c>
      <c r="C39" s="639" t="s">
        <v>1659</v>
      </c>
      <c r="D39" s="640">
        <v>8977</v>
      </c>
      <c r="E39" s="641">
        <v>0</v>
      </c>
      <c r="F39" s="642">
        <f t="shared" si="4"/>
        <v>0</v>
      </c>
      <c r="G39" s="642">
        <f t="shared" si="5"/>
        <v>8977</v>
      </c>
      <c r="H39" s="643">
        <f t="shared" si="6"/>
        <v>0</v>
      </c>
      <c r="I39" s="642">
        <f t="shared" si="7"/>
        <v>8977</v>
      </c>
      <c r="J39" s="643">
        <v>0.1</v>
      </c>
      <c r="K39" s="644">
        <v>0.6</v>
      </c>
      <c r="L39" s="645">
        <f t="shared" si="8"/>
        <v>897.7</v>
      </c>
      <c r="M39" s="642">
        <f t="shared" si="9"/>
        <v>5386.2</v>
      </c>
      <c r="N39" s="642">
        <f t="shared" si="10"/>
        <v>2693.1000000000004</v>
      </c>
      <c r="O39" s="626"/>
    </row>
    <row r="40" spans="1:253">
      <c r="A40" s="637"/>
      <c r="B40" s="638" t="s">
        <v>1705</v>
      </c>
      <c r="C40" s="639" t="s">
        <v>1660</v>
      </c>
      <c r="D40" s="640">
        <v>10433</v>
      </c>
      <c r="E40" s="641">
        <v>0</v>
      </c>
      <c r="F40" s="642">
        <f t="shared" si="4"/>
        <v>0</v>
      </c>
      <c r="G40" s="642">
        <f t="shared" si="5"/>
        <v>10433</v>
      </c>
      <c r="H40" s="643">
        <f t="shared" si="6"/>
        <v>0</v>
      </c>
      <c r="I40" s="642">
        <f t="shared" si="7"/>
        <v>10433</v>
      </c>
      <c r="J40" s="643">
        <v>0.1</v>
      </c>
      <c r="K40" s="644">
        <v>0.7</v>
      </c>
      <c r="L40" s="645">
        <f t="shared" si="8"/>
        <v>1043.3</v>
      </c>
      <c r="M40" s="642">
        <f t="shared" si="9"/>
        <v>7303.0999999999995</v>
      </c>
      <c r="N40" s="642">
        <f t="shared" si="10"/>
        <v>2086.6000000000013</v>
      </c>
      <c r="O40" s="628" t="s">
        <v>1706</v>
      </c>
    </row>
    <row r="41" spans="1:253">
      <c r="A41" s="637"/>
      <c r="B41" s="638" t="s">
        <v>1707</v>
      </c>
      <c r="C41" s="639" t="s">
        <v>1660</v>
      </c>
      <c r="D41" s="640">
        <v>4050</v>
      </c>
      <c r="E41" s="641">
        <v>0</v>
      </c>
      <c r="F41" s="642">
        <f t="shared" si="4"/>
        <v>0</v>
      </c>
      <c r="G41" s="642">
        <f t="shared" si="5"/>
        <v>4050</v>
      </c>
      <c r="H41" s="643">
        <f t="shared" si="6"/>
        <v>0</v>
      </c>
      <c r="I41" s="642">
        <f t="shared" si="7"/>
        <v>4050</v>
      </c>
      <c r="J41" s="643">
        <v>0.1</v>
      </c>
      <c r="K41" s="644">
        <v>0.6</v>
      </c>
      <c r="L41" s="645">
        <f t="shared" si="8"/>
        <v>405</v>
      </c>
      <c r="M41" s="642">
        <f t="shared" si="9"/>
        <v>2430</v>
      </c>
      <c r="N41" s="642">
        <f t="shared" si="10"/>
        <v>1215</v>
      </c>
      <c r="O41" s="626"/>
    </row>
    <row r="42" spans="1:253">
      <c r="A42" s="637"/>
      <c r="B42" s="638" t="s">
        <v>1708</v>
      </c>
      <c r="C42" s="639" t="s">
        <v>1660</v>
      </c>
      <c r="D42" s="640">
        <v>3900</v>
      </c>
      <c r="E42" s="641">
        <v>0</v>
      </c>
      <c r="F42" s="642">
        <f t="shared" si="4"/>
        <v>0</v>
      </c>
      <c r="G42" s="642">
        <f t="shared" si="5"/>
        <v>3900</v>
      </c>
      <c r="H42" s="643">
        <f t="shared" si="6"/>
        <v>0</v>
      </c>
      <c r="I42" s="642">
        <f t="shared" si="7"/>
        <v>3900</v>
      </c>
      <c r="J42" s="643">
        <v>0.1</v>
      </c>
      <c r="K42" s="644">
        <v>0.7</v>
      </c>
      <c r="L42" s="645">
        <f t="shared" si="8"/>
        <v>390</v>
      </c>
      <c r="M42" s="642">
        <f t="shared" si="9"/>
        <v>2730</v>
      </c>
      <c r="N42" s="642">
        <f t="shared" si="10"/>
        <v>780</v>
      </c>
      <c r="O42" s="626" t="s">
        <v>1709</v>
      </c>
    </row>
    <row r="43" spans="1:253" ht="25.5">
      <c r="A43" s="637"/>
      <c r="B43" s="638" t="s">
        <v>1710</v>
      </c>
      <c r="C43" s="639" t="s">
        <v>1661</v>
      </c>
      <c r="D43" s="640"/>
      <c r="E43" s="641">
        <v>0</v>
      </c>
      <c r="F43" s="642">
        <f t="shared" si="4"/>
        <v>0</v>
      </c>
      <c r="G43" s="642">
        <f t="shared" si="5"/>
        <v>0</v>
      </c>
      <c r="H43" s="643">
        <f t="shared" si="6"/>
        <v>0</v>
      </c>
      <c r="I43" s="642">
        <f t="shared" si="7"/>
        <v>0</v>
      </c>
      <c r="J43" s="643">
        <v>0.1</v>
      </c>
      <c r="K43" s="644"/>
      <c r="L43" s="645">
        <f t="shared" si="8"/>
        <v>0</v>
      </c>
      <c r="M43" s="642">
        <f t="shared" si="9"/>
        <v>0</v>
      </c>
      <c r="N43" s="642">
        <f t="shared" si="10"/>
        <v>0</v>
      </c>
      <c r="O43" s="626"/>
    </row>
    <row r="44" spans="1:253">
      <c r="A44" s="637"/>
      <c r="B44" s="638" t="s">
        <v>1711</v>
      </c>
      <c r="C44" s="639" t="s">
        <v>1661</v>
      </c>
      <c r="D44" s="640"/>
      <c r="E44" s="641">
        <v>0</v>
      </c>
      <c r="F44" s="642">
        <f t="shared" si="4"/>
        <v>0</v>
      </c>
      <c r="G44" s="642">
        <f t="shared" si="5"/>
        <v>0</v>
      </c>
      <c r="H44" s="643">
        <f t="shared" si="6"/>
        <v>0</v>
      </c>
      <c r="I44" s="642">
        <f t="shared" si="7"/>
        <v>0</v>
      </c>
      <c r="J44" s="643">
        <v>0.1</v>
      </c>
      <c r="K44" s="644"/>
      <c r="L44" s="645">
        <f t="shared" si="8"/>
        <v>0</v>
      </c>
      <c r="M44" s="642">
        <f t="shared" si="9"/>
        <v>0</v>
      </c>
      <c r="N44" s="642">
        <f t="shared" si="10"/>
        <v>0</v>
      </c>
      <c r="O44" s="626"/>
      <c r="P44" s="636"/>
      <c r="Q44" s="636"/>
      <c r="R44" s="636"/>
      <c r="S44" s="636"/>
      <c r="T44" s="636"/>
      <c r="U44" s="636"/>
      <c r="V44" s="636"/>
      <c r="W44" s="636"/>
      <c r="X44" s="636"/>
      <c r="Y44" s="636"/>
      <c r="Z44" s="636"/>
      <c r="AA44" s="636"/>
      <c r="AB44" s="636"/>
      <c r="AC44" s="636"/>
      <c r="AD44" s="636"/>
      <c r="AE44" s="636"/>
      <c r="AF44" s="636"/>
      <c r="AG44" s="636"/>
      <c r="AH44" s="636"/>
      <c r="AI44" s="636"/>
      <c r="AJ44" s="636"/>
      <c r="AK44" s="636"/>
      <c r="AL44" s="636"/>
      <c r="AM44" s="636"/>
      <c r="AN44" s="636"/>
      <c r="AO44" s="636"/>
      <c r="AP44" s="636"/>
      <c r="AQ44" s="636"/>
      <c r="AR44" s="636"/>
      <c r="AS44" s="636"/>
      <c r="AT44" s="636"/>
      <c r="AU44" s="636"/>
      <c r="AV44" s="636"/>
      <c r="AW44" s="636"/>
      <c r="AX44" s="636"/>
      <c r="AY44" s="636"/>
      <c r="AZ44" s="636"/>
      <c r="BA44" s="636"/>
      <c r="BB44" s="636"/>
      <c r="BC44" s="636"/>
      <c r="BD44" s="636"/>
      <c r="BE44" s="636"/>
      <c r="BF44" s="636"/>
      <c r="BG44" s="636"/>
      <c r="BH44" s="636"/>
      <c r="BI44" s="636"/>
      <c r="BJ44" s="636"/>
      <c r="BK44" s="636"/>
      <c r="BL44" s="636"/>
      <c r="BM44" s="636"/>
      <c r="BN44" s="636"/>
      <c r="BO44" s="636"/>
      <c r="BP44" s="636"/>
      <c r="BQ44" s="636"/>
      <c r="BR44" s="636"/>
      <c r="BS44" s="636"/>
      <c r="BT44" s="636"/>
      <c r="BU44" s="636"/>
      <c r="BV44" s="636"/>
      <c r="BW44" s="636"/>
      <c r="BX44" s="636"/>
      <c r="BY44" s="636"/>
      <c r="BZ44" s="636"/>
      <c r="CA44" s="636"/>
      <c r="CB44" s="636"/>
      <c r="CC44" s="636"/>
      <c r="CD44" s="636"/>
      <c r="CE44" s="636"/>
      <c r="CF44" s="636"/>
      <c r="CG44" s="636"/>
      <c r="CH44" s="636"/>
      <c r="CI44" s="636"/>
      <c r="CJ44" s="636"/>
      <c r="CK44" s="636"/>
      <c r="CL44" s="636"/>
      <c r="CM44" s="636"/>
      <c r="CN44" s="636"/>
      <c r="CO44" s="636"/>
      <c r="CP44" s="636"/>
      <c r="CQ44" s="636"/>
      <c r="CR44" s="636"/>
      <c r="CS44" s="636"/>
      <c r="CT44" s="636"/>
      <c r="CU44" s="636"/>
      <c r="CV44" s="636"/>
      <c r="CW44" s="636"/>
      <c r="CX44" s="636"/>
      <c r="CY44" s="636"/>
      <c r="CZ44" s="636"/>
      <c r="DA44" s="636"/>
      <c r="DB44" s="636"/>
      <c r="DC44" s="636"/>
      <c r="DD44" s="636"/>
      <c r="DE44" s="636"/>
      <c r="DF44" s="636"/>
      <c r="DG44" s="636"/>
      <c r="DH44" s="636"/>
      <c r="DI44" s="636"/>
      <c r="DJ44" s="636"/>
      <c r="DK44" s="636"/>
      <c r="DL44" s="636"/>
      <c r="DM44" s="636"/>
      <c r="DN44" s="636"/>
      <c r="DO44" s="636"/>
      <c r="DP44" s="636"/>
      <c r="DQ44" s="636"/>
      <c r="DR44" s="636"/>
      <c r="DS44" s="636"/>
      <c r="DT44" s="636"/>
      <c r="DU44" s="636"/>
      <c r="DV44" s="636"/>
      <c r="DW44" s="636"/>
      <c r="DX44" s="636"/>
      <c r="DY44" s="636"/>
      <c r="DZ44" s="636"/>
      <c r="EA44" s="636"/>
      <c r="EB44" s="636"/>
      <c r="EC44" s="636"/>
      <c r="ED44" s="636"/>
      <c r="EE44" s="636"/>
      <c r="EF44" s="636"/>
      <c r="EG44" s="636"/>
      <c r="EH44" s="636"/>
      <c r="EI44" s="636"/>
      <c r="EJ44" s="636"/>
      <c r="EK44" s="636"/>
      <c r="EL44" s="636"/>
      <c r="EM44" s="636"/>
      <c r="EN44" s="636"/>
      <c r="EO44" s="636"/>
      <c r="EP44" s="636"/>
      <c r="EQ44" s="636"/>
      <c r="ER44" s="636"/>
      <c r="ES44" s="636"/>
      <c r="ET44" s="636"/>
      <c r="EU44" s="636"/>
      <c r="EV44" s="636"/>
      <c r="EW44" s="636"/>
      <c r="EX44" s="636"/>
      <c r="EY44" s="636"/>
      <c r="EZ44" s="636"/>
      <c r="FA44" s="636"/>
      <c r="FB44" s="636"/>
      <c r="FC44" s="636"/>
      <c r="FD44" s="636"/>
      <c r="FE44" s="636"/>
      <c r="FF44" s="636"/>
      <c r="FG44" s="636"/>
      <c r="FH44" s="636"/>
      <c r="FI44" s="636"/>
      <c r="FJ44" s="636"/>
      <c r="FK44" s="636"/>
      <c r="FL44" s="636"/>
      <c r="FM44" s="636"/>
      <c r="FN44" s="636"/>
      <c r="FO44" s="636"/>
      <c r="FP44" s="636"/>
      <c r="FQ44" s="636"/>
      <c r="FR44" s="636"/>
      <c r="FS44" s="636"/>
      <c r="FT44" s="636"/>
      <c r="FU44" s="636"/>
      <c r="FV44" s="636"/>
      <c r="FW44" s="636"/>
      <c r="FX44" s="636"/>
      <c r="FY44" s="636"/>
      <c r="FZ44" s="636"/>
      <c r="GA44" s="636"/>
      <c r="GB44" s="636"/>
      <c r="GC44" s="636"/>
      <c r="GD44" s="636"/>
      <c r="GE44" s="636"/>
      <c r="GF44" s="636"/>
      <c r="GG44" s="636"/>
      <c r="GH44" s="636"/>
      <c r="GI44" s="636"/>
      <c r="GJ44" s="636"/>
      <c r="GK44" s="636"/>
      <c r="GL44" s="636"/>
      <c r="GM44" s="636"/>
      <c r="GN44" s="636"/>
      <c r="GO44" s="636"/>
      <c r="GP44" s="636"/>
      <c r="GQ44" s="636"/>
      <c r="GR44" s="636"/>
      <c r="GS44" s="636"/>
      <c r="GT44" s="636"/>
      <c r="GU44" s="636"/>
      <c r="GV44" s="636"/>
      <c r="GW44" s="636"/>
      <c r="GX44" s="636"/>
      <c r="GY44" s="636"/>
      <c r="GZ44" s="636"/>
      <c r="HA44" s="636"/>
      <c r="HB44" s="636"/>
      <c r="HC44" s="636"/>
      <c r="HD44" s="636"/>
      <c r="HE44" s="636"/>
      <c r="HF44" s="636"/>
      <c r="HG44" s="636"/>
      <c r="HH44" s="636"/>
      <c r="HI44" s="636"/>
      <c r="HJ44" s="636"/>
      <c r="HK44" s="636"/>
      <c r="HL44" s="636"/>
      <c r="HM44" s="636"/>
      <c r="HN44" s="636"/>
      <c r="HO44" s="636"/>
      <c r="HP44" s="636"/>
      <c r="HQ44" s="636"/>
      <c r="HR44" s="636"/>
      <c r="HS44" s="636"/>
      <c r="HT44" s="636"/>
      <c r="HU44" s="636"/>
      <c r="HV44" s="636"/>
      <c r="HW44" s="636"/>
      <c r="HX44" s="636"/>
      <c r="HY44" s="636"/>
      <c r="HZ44" s="636"/>
      <c r="IA44" s="636"/>
      <c r="IB44" s="636"/>
      <c r="IC44" s="636"/>
      <c r="ID44" s="636"/>
      <c r="IE44" s="636"/>
      <c r="IF44" s="636"/>
      <c r="IG44" s="636"/>
      <c r="IH44" s="636"/>
      <c r="II44" s="636"/>
      <c r="IJ44" s="636"/>
      <c r="IK44" s="636"/>
      <c r="IL44" s="636"/>
      <c r="IM44" s="636"/>
      <c r="IN44" s="636"/>
      <c r="IO44" s="636"/>
      <c r="IP44" s="636"/>
      <c r="IQ44" s="636"/>
      <c r="IR44" s="636"/>
      <c r="IS44" s="636"/>
    </row>
    <row r="45" spans="1:253">
      <c r="A45" s="623" t="s">
        <v>556</v>
      </c>
      <c r="B45" s="624" t="s">
        <v>1712</v>
      </c>
      <c r="C45" s="634"/>
      <c r="D45" s="635"/>
      <c r="E45" s="627"/>
      <c r="F45" s="635"/>
      <c r="G45" s="635"/>
      <c r="H45" s="629"/>
      <c r="I45" s="635"/>
      <c r="J45" s="631"/>
      <c r="K45" s="631"/>
      <c r="L45" s="635"/>
      <c r="M45" s="635"/>
      <c r="N45" s="635"/>
      <c r="O45" s="626"/>
      <c r="P45" s="633"/>
      <c r="Q45" s="633"/>
      <c r="R45" s="633"/>
      <c r="S45" s="633"/>
      <c r="T45" s="633"/>
      <c r="U45" s="633"/>
      <c r="V45" s="633"/>
      <c r="W45" s="633"/>
      <c r="X45" s="633"/>
      <c r="Y45" s="633"/>
      <c r="Z45" s="633"/>
      <c r="AA45" s="633"/>
      <c r="AB45" s="633"/>
      <c r="AC45" s="633"/>
      <c r="AD45" s="633"/>
      <c r="AE45" s="633"/>
      <c r="AF45" s="633"/>
      <c r="AG45" s="633"/>
      <c r="AH45" s="633"/>
      <c r="AI45" s="633"/>
      <c r="AJ45" s="633"/>
      <c r="AK45" s="633"/>
      <c r="AL45" s="633"/>
      <c r="AM45" s="633"/>
      <c r="AN45" s="633"/>
      <c r="AO45" s="633"/>
      <c r="AP45" s="633"/>
      <c r="AQ45" s="633"/>
      <c r="AR45" s="633"/>
      <c r="AS45" s="633"/>
      <c r="AT45" s="633"/>
      <c r="AU45" s="633"/>
      <c r="AV45" s="633"/>
      <c r="AW45" s="633"/>
      <c r="AX45" s="633"/>
      <c r="AY45" s="633"/>
      <c r="AZ45" s="633"/>
      <c r="BA45" s="633"/>
      <c r="BB45" s="633"/>
      <c r="BC45" s="633"/>
      <c r="BD45" s="633"/>
      <c r="BE45" s="633"/>
      <c r="BF45" s="633"/>
      <c r="BG45" s="633"/>
      <c r="BH45" s="633"/>
      <c r="BI45" s="633"/>
      <c r="BJ45" s="633"/>
      <c r="BK45" s="633"/>
      <c r="BL45" s="633"/>
      <c r="BM45" s="633"/>
      <c r="BN45" s="633"/>
      <c r="BO45" s="633"/>
      <c r="BP45" s="633"/>
      <c r="BQ45" s="633"/>
      <c r="BR45" s="633"/>
      <c r="BS45" s="633"/>
      <c r="BT45" s="633"/>
      <c r="BU45" s="633"/>
      <c r="BV45" s="633"/>
      <c r="BW45" s="633"/>
      <c r="BX45" s="633"/>
      <c r="BY45" s="633"/>
      <c r="BZ45" s="633"/>
      <c r="CA45" s="633"/>
      <c r="CB45" s="633"/>
      <c r="CC45" s="633"/>
      <c r="CD45" s="633"/>
      <c r="CE45" s="633"/>
      <c r="CF45" s="633"/>
      <c r="CG45" s="633"/>
      <c r="CH45" s="633"/>
      <c r="CI45" s="633"/>
      <c r="CJ45" s="633"/>
      <c r="CK45" s="633"/>
      <c r="CL45" s="633"/>
      <c r="CM45" s="633"/>
      <c r="CN45" s="633"/>
      <c r="CO45" s="633"/>
      <c r="CP45" s="633"/>
      <c r="CQ45" s="633"/>
      <c r="CR45" s="633"/>
      <c r="CS45" s="633"/>
      <c r="CT45" s="633"/>
      <c r="CU45" s="633"/>
      <c r="CV45" s="633"/>
      <c r="CW45" s="633"/>
      <c r="CX45" s="633"/>
      <c r="CY45" s="633"/>
      <c r="CZ45" s="633"/>
      <c r="DA45" s="633"/>
      <c r="DB45" s="633"/>
      <c r="DC45" s="633"/>
      <c r="DD45" s="633"/>
      <c r="DE45" s="633"/>
      <c r="DF45" s="633"/>
      <c r="DG45" s="633"/>
      <c r="DH45" s="633"/>
      <c r="DI45" s="633"/>
      <c r="DJ45" s="633"/>
      <c r="DK45" s="633"/>
      <c r="DL45" s="633"/>
      <c r="DM45" s="633"/>
      <c r="DN45" s="633"/>
      <c r="DO45" s="633"/>
      <c r="DP45" s="633"/>
      <c r="DQ45" s="633"/>
      <c r="DR45" s="633"/>
      <c r="DS45" s="633"/>
      <c r="DT45" s="633"/>
      <c r="DU45" s="633"/>
      <c r="DV45" s="633"/>
      <c r="DW45" s="633"/>
      <c r="DX45" s="633"/>
      <c r="DY45" s="633"/>
      <c r="DZ45" s="633"/>
      <c r="EA45" s="633"/>
      <c r="EB45" s="633"/>
      <c r="EC45" s="633"/>
      <c r="ED45" s="633"/>
      <c r="EE45" s="633"/>
      <c r="EF45" s="633"/>
      <c r="EG45" s="633"/>
      <c r="EH45" s="633"/>
      <c r="EI45" s="633"/>
      <c r="EJ45" s="633"/>
      <c r="EK45" s="633"/>
      <c r="EL45" s="633"/>
      <c r="EM45" s="633"/>
      <c r="EN45" s="633"/>
      <c r="EO45" s="633"/>
      <c r="EP45" s="633"/>
      <c r="EQ45" s="633"/>
      <c r="ER45" s="633"/>
      <c r="ES45" s="633"/>
      <c r="ET45" s="633"/>
      <c r="EU45" s="633"/>
      <c r="EV45" s="633"/>
      <c r="EW45" s="633"/>
      <c r="EX45" s="633"/>
      <c r="EY45" s="633"/>
      <c r="EZ45" s="633"/>
      <c r="FA45" s="633"/>
      <c r="FB45" s="633"/>
      <c r="FC45" s="633"/>
      <c r="FD45" s="633"/>
      <c r="FE45" s="633"/>
      <c r="FF45" s="633"/>
      <c r="FG45" s="633"/>
      <c r="FH45" s="633"/>
      <c r="FI45" s="633"/>
      <c r="FJ45" s="633"/>
      <c r="FK45" s="633"/>
      <c r="FL45" s="633"/>
      <c r="FM45" s="633"/>
      <c r="FN45" s="633"/>
      <c r="FO45" s="633"/>
      <c r="FP45" s="633"/>
      <c r="FQ45" s="633"/>
      <c r="FR45" s="633"/>
      <c r="FS45" s="633"/>
      <c r="FT45" s="633"/>
      <c r="FU45" s="633"/>
      <c r="FV45" s="633"/>
      <c r="FW45" s="633"/>
      <c r="FX45" s="633"/>
      <c r="FY45" s="633"/>
      <c r="FZ45" s="633"/>
      <c r="GA45" s="633"/>
      <c r="GB45" s="633"/>
      <c r="GC45" s="633"/>
      <c r="GD45" s="633"/>
      <c r="GE45" s="633"/>
      <c r="GF45" s="633"/>
      <c r="GG45" s="633"/>
      <c r="GH45" s="633"/>
      <c r="GI45" s="633"/>
      <c r="GJ45" s="633"/>
      <c r="GK45" s="633"/>
      <c r="GL45" s="633"/>
      <c r="GM45" s="633"/>
      <c r="GN45" s="633"/>
      <c r="GO45" s="633"/>
      <c r="GP45" s="633"/>
      <c r="GQ45" s="633"/>
      <c r="GR45" s="633"/>
      <c r="GS45" s="633"/>
      <c r="GT45" s="633"/>
      <c r="GU45" s="633"/>
      <c r="GV45" s="633"/>
      <c r="GW45" s="633"/>
      <c r="GX45" s="633"/>
      <c r="GY45" s="633"/>
      <c r="GZ45" s="633"/>
      <c r="HA45" s="633"/>
      <c r="HB45" s="633"/>
      <c r="HC45" s="633"/>
      <c r="HD45" s="633"/>
      <c r="HE45" s="633"/>
      <c r="HF45" s="633"/>
      <c r="HG45" s="633"/>
      <c r="HH45" s="633"/>
      <c r="HI45" s="633"/>
      <c r="HJ45" s="633"/>
      <c r="HK45" s="633"/>
      <c r="HL45" s="633"/>
      <c r="HM45" s="633"/>
      <c r="HN45" s="633"/>
      <c r="HO45" s="633"/>
      <c r="HP45" s="633"/>
      <c r="HQ45" s="633"/>
      <c r="HR45" s="633"/>
      <c r="HS45" s="633"/>
      <c r="HT45" s="633"/>
      <c r="HU45" s="633"/>
      <c r="HV45" s="633"/>
      <c r="HW45" s="633"/>
      <c r="HX45" s="633"/>
      <c r="HY45" s="633"/>
      <c r="HZ45" s="633"/>
      <c r="IA45" s="633"/>
      <c r="IB45" s="633"/>
      <c r="IC45" s="633"/>
      <c r="ID45" s="633"/>
      <c r="IE45" s="633"/>
      <c r="IF45" s="633"/>
      <c r="IG45" s="633"/>
      <c r="IH45" s="633"/>
      <c r="II45" s="633"/>
      <c r="IJ45" s="633"/>
      <c r="IK45" s="633"/>
      <c r="IL45" s="633"/>
      <c r="IM45" s="633"/>
      <c r="IN45" s="633"/>
      <c r="IO45" s="633"/>
      <c r="IP45" s="633"/>
      <c r="IQ45" s="633"/>
      <c r="IR45" s="633"/>
      <c r="IS45" s="633"/>
    </row>
    <row r="46" spans="1:253">
      <c r="A46" s="647"/>
      <c r="B46" s="648" t="s">
        <v>1713</v>
      </c>
      <c r="C46" s="639" t="s">
        <v>1656</v>
      </c>
      <c r="D46" s="640">
        <v>70000</v>
      </c>
      <c r="E46" s="641">
        <v>0.5</v>
      </c>
      <c r="F46" s="642">
        <f t="shared" si="4"/>
        <v>35000</v>
      </c>
      <c r="G46" s="642">
        <f t="shared" si="5"/>
        <v>35000</v>
      </c>
      <c r="H46" s="643">
        <f t="shared" si="6"/>
        <v>0</v>
      </c>
      <c r="I46" s="642">
        <f t="shared" si="7"/>
        <v>35000</v>
      </c>
      <c r="J46" s="643">
        <v>0.1</v>
      </c>
      <c r="K46" s="644">
        <v>0.4</v>
      </c>
      <c r="L46" s="645">
        <f t="shared" si="8"/>
        <v>3500</v>
      </c>
      <c r="M46" s="642">
        <f t="shared" si="9"/>
        <v>14000</v>
      </c>
      <c r="N46" s="642">
        <f t="shared" si="10"/>
        <v>17500</v>
      </c>
      <c r="O46" s="626"/>
    </row>
    <row r="47" spans="1:253" ht="25.5">
      <c r="A47" s="647"/>
      <c r="B47" s="648" t="s">
        <v>1714</v>
      </c>
      <c r="C47" s="639" t="s">
        <v>1656</v>
      </c>
      <c r="D47" s="640">
        <v>40000</v>
      </c>
      <c r="E47" s="641">
        <v>0.5</v>
      </c>
      <c r="F47" s="642">
        <f t="shared" si="4"/>
        <v>20000</v>
      </c>
      <c r="G47" s="642">
        <f t="shared" si="5"/>
        <v>20000</v>
      </c>
      <c r="H47" s="643">
        <f t="shared" si="6"/>
        <v>0</v>
      </c>
      <c r="I47" s="642">
        <f t="shared" si="7"/>
        <v>20000</v>
      </c>
      <c r="J47" s="643">
        <v>0.1</v>
      </c>
      <c r="K47" s="644">
        <v>0.4</v>
      </c>
      <c r="L47" s="645">
        <f t="shared" si="8"/>
        <v>2000</v>
      </c>
      <c r="M47" s="642">
        <f t="shared" si="9"/>
        <v>8000</v>
      </c>
      <c r="N47" s="642">
        <f t="shared" si="10"/>
        <v>10000</v>
      </c>
      <c r="O47" s="626"/>
    </row>
    <row r="48" spans="1:253">
      <c r="A48" s="647"/>
      <c r="B48" s="648" t="s">
        <v>1715</v>
      </c>
      <c r="C48" s="639" t="s">
        <v>1656</v>
      </c>
      <c r="D48" s="640">
        <v>90000</v>
      </c>
      <c r="E48" s="641">
        <v>0.5</v>
      </c>
      <c r="F48" s="642">
        <f t="shared" si="4"/>
        <v>45000</v>
      </c>
      <c r="G48" s="642">
        <f t="shared" si="5"/>
        <v>45000</v>
      </c>
      <c r="H48" s="643">
        <f t="shared" si="6"/>
        <v>0</v>
      </c>
      <c r="I48" s="642">
        <f t="shared" si="7"/>
        <v>45000</v>
      </c>
      <c r="J48" s="643">
        <v>0.1</v>
      </c>
      <c r="K48" s="644">
        <v>0.4</v>
      </c>
      <c r="L48" s="645">
        <f t="shared" si="8"/>
        <v>4500</v>
      </c>
      <c r="M48" s="642">
        <f t="shared" si="9"/>
        <v>18000</v>
      </c>
      <c r="N48" s="642">
        <f t="shared" si="10"/>
        <v>22500</v>
      </c>
      <c r="O48" s="626"/>
      <c r="P48" s="636"/>
      <c r="Q48" s="636"/>
      <c r="R48" s="636"/>
      <c r="S48" s="636"/>
      <c r="T48" s="636"/>
      <c r="U48" s="636"/>
      <c r="V48" s="636"/>
      <c r="W48" s="636"/>
      <c r="X48" s="636"/>
      <c r="Y48" s="636"/>
      <c r="Z48" s="636"/>
      <c r="AA48" s="636"/>
      <c r="AB48" s="636"/>
      <c r="AC48" s="636"/>
      <c r="AD48" s="636"/>
      <c r="AE48" s="636"/>
      <c r="AF48" s="636"/>
      <c r="AG48" s="636"/>
      <c r="AH48" s="636"/>
      <c r="AI48" s="636"/>
      <c r="AJ48" s="636"/>
      <c r="AK48" s="636"/>
      <c r="AL48" s="636"/>
      <c r="AM48" s="636"/>
      <c r="AN48" s="636"/>
      <c r="AO48" s="636"/>
      <c r="AP48" s="636"/>
      <c r="AQ48" s="636"/>
      <c r="AR48" s="636"/>
      <c r="AS48" s="636"/>
      <c r="AT48" s="636"/>
      <c r="AU48" s="636"/>
      <c r="AV48" s="636"/>
      <c r="AW48" s="636"/>
      <c r="AX48" s="636"/>
      <c r="AY48" s="636"/>
      <c r="AZ48" s="636"/>
      <c r="BA48" s="636"/>
      <c r="BB48" s="636"/>
      <c r="BC48" s="636"/>
      <c r="BD48" s="636"/>
      <c r="BE48" s="636"/>
      <c r="BF48" s="636"/>
      <c r="BG48" s="636"/>
      <c r="BH48" s="636"/>
      <c r="BI48" s="636"/>
      <c r="BJ48" s="636"/>
      <c r="BK48" s="636"/>
      <c r="BL48" s="636"/>
      <c r="BM48" s="636"/>
      <c r="BN48" s="636"/>
      <c r="BO48" s="636"/>
      <c r="BP48" s="636"/>
      <c r="BQ48" s="636"/>
      <c r="BR48" s="636"/>
      <c r="BS48" s="636"/>
      <c r="BT48" s="636"/>
      <c r="BU48" s="636"/>
      <c r="BV48" s="636"/>
      <c r="BW48" s="636"/>
      <c r="BX48" s="636"/>
      <c r="BY48" s="636"/>
      <c r="BZ48" s="636"/>
      <c r="CA48" s="636"/>
      <c r="CB48" s="636"/>
      <c r="CC48" s="636"/>
      <c r="CD48" s="636"/>
      <c r="CE48" s="636"/>
      <c r="CF48" s="636"/>
      <c r="CG48" s="636"/>
      <c r="CH48" s="636"/>
      <c r="CI48" s="636"/>
      <c r="CJ48" s="636"/>
      <c r="CK48" s="636"/>
      <c r="CL48" s="636"/>
      <c r="CM48" s="636"/>
      <c r="CN48" s="636"/>
      <c r="CO48" s="636"/>
      <c r="CP48" s="636"/>
      <c r="CQ48" s="636"/>
      <c r="CR48" s="636"/>
      <c r="CS48" s="636"/>
      <c r="CT48" s="636"/>
      <c r="CU48" s="636"/>
      <c r="CV48" s="636"/>
      <c r="CW48" s="636"/>
      <c r="CX48" s="636"/>
      <c r="CY48" s="636"/>
      <c r="CZ48" s="636"/>
      <c r="DA48" s="636"/>
      <c r="DB48" s="636"/>
      <c r="DC48" s="636"/>
      <c r="DD48" s="636"/>
      <c r="DE48" s="636"/>
      <c r="DF48" s="636"/>
      <c r="DG48" s="636"/>
      <c r="DH48" s="636"/>
      <c r="DI48" s="636"/>
      <c r="DJ48" s="636"/>
      <c r="DK48" s="636"/>
      <c r="DL48" s="636"/>
      <c r="DM48" s="636"/>
      <c r="DN48" s="636"/>
      <c r="DO48" s="636"/>
      <c r="DP48" s="636"/>
      <c r="DQ48" s="636"/>
      <c r="DR48" s="636"/>
      <c r="DS48" s="636"/>
      <c r="DT48" s="636"/>
      <c r="DU48" s="636"/>
      <c r="DV48" s="636"/>
      <c r="DW48" s="636"/>
      <c r="DX48" s="636"/>
      <c r="DY48" s="636"/>
      <c r="DZ48" s="636"/>
      <c r="EA48" s="636"/>
      <c r="EB48" s="636"/>
      <c r="EC48" s="636"/>
      <c r="ED48" s="636"/>
      <c r="EE48" s="636"/>
      <c r="EF48" s="636"/>
      <c r="EG48" s="636"/>
      <c r="EH48" s="636"/>
      <c r="EI48" s="636"/>
      <c r="EJ48" s="636"/>
      <c r="EK48" s="636"/>
      <c r="EL48" s="636"/>
      <c r="EM48" s="636"/>
      <c r="EN48" s="636"/>
      <c r="EO48" s="636"/>
      <c r="EP48" s="636"/>
      <c r="EQ48" s="636"/>
      <c r="ER48" s="636"/>
      <c r="ES48" s="636"/>
      <c r="ET48" s="636"/>
      <c r="EU48" s="636"/>
      <c r="EV48" s="636"/>
      <c r="EW48" s="636"/>
      <c r="EX48" s="636"/>
      <c r="EY48" s="636"/>
      <c r="EZ48" s="636"/>
      <c r="FA48" s="636"/>
      <c r="FB48" s="636"/>
      <c r="FC48" s="636"/>
      <c r="FD48" s="636"/>
      <c r="FE48" s="636"/>
      <c r="FF48" s="636"/>
      <c r="FG48" s="636"/>
      <c r="FH48" s="636"/>
      <c r="FI48" s="636"/>
      <c r="FJ48" s="636"/>
      <c r="FK48" s="636"/>
      <c r="FL48" s="636"/>
      <c r="FM48" s="636"/>
      <c r="FN48" s="636"/>
      <c r="FO48" s="636"/>
      <c r="FP48" s="636"/>
      <c r="FQ48" s="636"/>
      <c r="FR48" s="636"/>
      <c r="FS48" s="636"/>
      <c r="FT48" s="636"/>
      <c r="FU48" s="636"/>
      <c r="FV48" s="636"/>
      <c r="FW48" s="636"/>
      <c r="FX48" s="636"/>
      <c r="FY48" s="636"/>
      <c r="FZ48" s="636"/>
      <c r="GA48" s="636"/>
      <c r="GB48" s="636"/>
      <c r="GC48" s="636"/>
      <c r="GD48" s="636"/>
      <c r="GE48" s="636"/>
      <c r="GF48" s="636"/>
      <c r="GG48" s="636"/>
      <c r="GH48" s="636"/>
      <c r="GI48" s="636"/>
      <c r="GJ48" s="636"/>
      <c r="GK48" s="636"/>
      <c r="GL48" s="636"/>
      <c r="GM48" s="636"/>
      <c r="GN48" s="636"/>
      <c r="GO48" s="636"/>
      <c r="GP48" s="636"/>
      <c r="GQ48" s="636"/>
      <c r="GR48" s="636"/>
      <c r="GS48" s="636"/>
      <c r="GT48" s="636"/>
      <c r="GU48" s="636"/>
      <c r="GV48" s="636"/>
      <c r="GW48" s="636"/>
      <c r="GX48" s="636"/>
      <c r="GY48" s="636"/>
      <c r="GZ48" s="636"/>
      <c r="HA48" s="636"/>
      <c r="HB48" s="636"/>
      <c r="HC48" s="636"/>
      <c r="HD48" s="636"/>
      <c r="HE48" s="636"/>
      <c r="HF48" s="636"/>
      <c r="HG48" s="636"/>
      <c r="HH48" s="636"/>
      <c r="HI48" s="636"/>
      <c r="HJ48" s="636"/>
      <c r="HK48" s="636"/>
      <c r="HL48" s="636"/>
      <c r="HM48" s="636"/>
      <c r="HN48" s="636"/>
      <c r="HO48" s="636"/>
      <c r="HP48" s="636"/>
      <c r="HQ48" s="636"/>
      <c r="HR48" s="636"/>
      <c r="HS48" s="636"/>
      <c r="HT48" s="636"/>
      <c r="HU48" s="636"/>
      <c r="HV48" s="636"/>
      <c r="HW48" s="636"/>
      <c r="HX48" s="636"/>
      <c r="HY48" s="636"/>
      <c r="HZ48" s="636"/>
      <c r="IA48" s="636"/>
      <c r="IB48" s="636"/>
      <c r="IC48" s="636"/>
      <c r="ID48" s="636"/>
      <c r="IE48" s="636"/>
      <c r="IF48" s="636"/>
      <c r="IG48" s="636"/>
      <c r="IH48" s="636"/>
      <c r="II48" s="636"/>
      <c r="IJ48" s="636"/>
      <c r="IK48" s="636"/>
      <c r="IL48" s="636"/>
      <c r="IM48" s="636"/>
      <c r="IN48" s="636"/>
      <c r="IO48" s="636"/>
      <c r="IP48" s="636"/>
      <c r="IQ48" s="636"/>
      <c r="IR48" s="636"/>
      <c r="IS48" s="636"/>
    </row>
    <row r="49" spans="1:15">
      <c r="A49" s="623" t="s">
        <v>556</v>
      </c>
      <c r="B49" s="624" t="s">
        <v>1716</v>
      </c>
      <c r="C49" s="634"/>
      <c r="D49" s="635"/>
      <c r="E49" s="627"/>
      <c r="F49" s="635"/>
      <c r="G49" s="635"/>
      <c r="H49" s="629"/>
      <c r="I49" s="635"/>
      <c r="J49" s="631"/>
      <c r="K49" s="631"/>
      <c r="L49" s="635"/>
      <c r="M49" s="635"/>
      <c r="N49" s="635"/>
      <c r="O49" s="626"/>
    </row>
    <row r="50" spans="1:15">
      <c r="A50" s="647"/>
      <c r="B50" s="648" t="s">
        <v>1717</v>
      </c>
      <c r="C50" s="639" t="s">
        <v>1656</v>
      </c>
      <c r="D50" s="646">
        <v>10826</v>
      </c>
      <c r="E50" s="641">
        <v>0.5</v>
      </c>
      <c r="F50" s="642">
        <f t="shared" ref="F50:F55" si="11">D50*E50</f>
        <v>5413</v>
      </c>
      <c r="G50" s="642">
        <f t="shared" ref="G50:G55" si="12">D50-F50</f>
        <v>5413</v>
      </c>
      <c r="H50" s="643">
        <f t="shared" si="6"/>
        <v>0</v>
      </c>
      <c r="I50" s="642">
        <f t="shared" ref="I50:I55" si="13">G50-G50*H50</f>
        <v>5413</v>
      </c>
      <c r="J50" s="643">
        <v>0.1</v>
      </c>
      <c r="K50" s="644">
        <v>0.4</v>
      </c>
      <c r="L50" s="645">
        <f t="shared" si="8"/>
        <v>541.30000000000007</v>
      </c>
      <c r="M50" s="642">
        <f t="shared" si="9"/>
        <v>2165.2000000000003</v>
      </c>
      <c r="N50" s="642">
        <f t="shared" si="10"/>
        <v>2706.4999999999995</v>
      </c>
      <c r="O50" s="639"/>
    </row>
    <row r="51" spans="1:15">
      <c r="A51" s="647"/>
      <c r="B51" s="648" t="s">
        <v>1718</v>
      </c>
      <c r="C51" s="639" t="s">
        <v>1656</v>
      </c>
      <c r="D51" s="646">
        <v>43229</v>
      </c>
      <c r="E51" s="641">
        <v>0.5</v>
      </c>
      <c r="F51" s="642">
        <f t="shared" si="11"/>
        <v>21614.5</v>
      </c>
      <c r="G51" s="642">
        <f t="shared" si="12"/>
        <v>21614.5</v>
      </c>
      <c r="H51" s="643">
        <f t="shared" si="6"/>
        <v>0</v>
      </c>
      <c r="I51" s="642">
        <f t="shared" si="13"/>
        <v>21614.5</v>
      </c>
      <c r="J51" s="643">
        <v>0.1</v>
      </c>
      <c r="K51" s="644">
        <v>0.7</v>
      </c>
      <c r="L51" s="645">
        <f t="shared" si="8"/>
        <v>2161.4500000000003</v>
      </c>
      <c r="M51" s="642">
        <f t="shared" si="9"/>
        <v>15130.15</v>
      </c>
      <c r="N51" s="642">
        <f t="shared" si="10"/>
        <v>4322.8999999999996</v>
      </c>
      <c r="O51" s="639"/>
    </row>
    <row r="52" spans="1:15">
      <c r="A52" s="647"/>
      <c r="B52" s="648" t="s">
        <v>1719</v>
      </c>
      <c r="C52" s="639" t="s">
        <v>1656</v>
      </c>
      <c r="D52" s="646">
        <v>140000</v>
      </c>
      <c r="E52" s="641">
        <v>0.5</v>
      </c>
      <c r="F52" s="642">
        <f t="shared" si="11"/>
        <v>70000</v>
      </c>
      <c r="G52" s="642">
        <f t="shared" si="12"/>
        <v>70000</v>
      </c>
      <c r="H52" s="643">
        <f t="shared" si="6"/>
        <v>0</v>
      </c>
      <c r="I52" s="642">
        <f t="shared" si="13"/>
        <v>70000</v>
      </c>
      <c r="J52" s="643">
        <v>0.1</v>
      </c>
      <c r="K52" s="644">
        <v>0.4</v>
      </c>
      <c r="L52" s="645">
        <f t="shared" si="8"/>
        <v>7000</v>
      </c>
      <c r="M52" s="642">
        <f t="shared" si="9"/>
        <v>28000</v>
      </c>
      <c r="N52" s="642">
        <f t="shared" si="10"/>
        <v>35000</v>
      </c>
      <c r="O52" s="639"/>
    </row>
    <row r="53" spans="1:15" ht="25.5">
      <c r="A53" s="647"/>
      <c r="B53" s="648" t="s">
        <v>1720</v>
      </c>
      <c r="C53" s="639" t="s">
        <v>1656</v>
      </c>
      <c r="D53" s="646">
        <v>25000</v>
      </c>
      <c r="E53" s="641">
        <v>0.5</v>
      </c>
      <c r="F53" s="642">
        <f t="shared" si="11"/>
        <v>12500</v>
      </c>
      <c r="G53" s="642">
        <f t="shared" si="12"/>
        <v>12500</v>
      </c>
      <c r="H53" s="643">
        <f t="shared" si="6"/>
        <v>0</v>
      </c>
      <c r="I53" s="642">
        <f t="shared" si="13"/>
        <v>12500</v>
      </c>
      <c r="J53" s="643">
        <v>0.1</v>
      </c>
      <c r="K53" s="644">
        <v>0.4</v>
      </c>
      <c r="L53" s="645">
        <f t="shared" si="8"/>
        <v>1250</v>
      </c>
      <c r="M53" s="642">
        <f t="shared" si="9"/>
        <v>5000</v>
      </c>
      <c r="N53" s="642">
        <f t="shared" si="10"/>
        <v>6250</v>
      </c>
      <c r="O53" s="639"/>
    </row>
    <row r="54" spans="1:15">
      <c r="A54" s="647"/>
      <c r="B54" s="648" t="s">
        <v>1804</v>
      </c>
      <c r="C54" s="639" t="s">
        <v>1656</v>
      </c>
      <c r="D54" s="646">
        <v>100000</v>
      </c>
      <c r="E54" s="641">
        <v>0.5</v>
      </c>
      <c r="F54" s="642">
        <f t="shared" si="11"/>
        <v>50000</v>
      </c>
      <c r="G54" s="642">
        <f t="shared" si="12"/>
        <v>50000</v>
      </c>
      <c r="H54" s="643">
        <f t="shared" si="6"/>
        <v>0</v>
      </c>
      <c r="I54" s="642">
        <f t="shared" si="13"/>
        <v>50000</v>
      </c>
      <c r="J54" s="643">
        <v>0.1</v>
      </c>
      <c r="K54" s="644">
        <v>0.7</v>
      </c>
      <c r="L54" s="645">
        <f t="shared" si="8"/>
        <v>5000</v>
      </c>
      <c r="M54" s="642">
        <f t="shared" si="9"/>
        <v>35000</v>
      </c>
      <c r="N54" s="642">
        <f t="shared" si="10"/>
        <v>10000</v>
      </c>
      <c r="O54" s="639"/>
    </row>
    <row r="55" spans="1:15">
      <c r="A55" s="647"/>
      <c r="B55" s="648" t="s">
        <v>1721</v>
      </c>
      <c r="C55" s="639" t="s">
        <v>1656</v>
      </c>
      <c r="D55" s="646">
        <v>47002</v>
      </c>
      <c r="E55" s="641">
        <v>0.5</v>
      </c>
      <c r="F55" s="642">
        <f t="shared" si="11"/>
        <v>23501</v>
      </c>
      <c r="G55" s="642">
        <f t="shared" si="12"/>
        <v>23501</v>
      </c>
      <c r="H55" s="643">
        <f>H53</f>
        <v>0</v>
      </c>
      <c r="I55" s="642">
        <f t="shared" si="13"/>
        <v>23501</v>
      </c>
      <c r="J55" s="643">
        <v>0.1</v>
      </c>
      <c r="K55" s="644">
        <v>0.7</v>
      </c>
      <c r="L55" s="645">
        <f t="shared" si="8"/>
        <v>2350.1</v>
      </c>
      <c r="M55" s="642">
        <f t="shared" si="9"/>
        <v>16450.7</v>
      </c>
      <c r="N55" s="642">
        <f t="shared" si="10"/>
        <v>4700.2000000000007</v>
      </c>
      <c r="O55" s="639"/>
    </row>
    <row r="56" spans="1:15">
      <c r="A56" s="623" t="s">
        <v>556</v>
      </c>
      <c r="B56" s="624" t="s">
        <v>1722</v>
      </c>
      <c r="C56" s="634"/>
      <c r="D56" s="635"/>
      <c r="E56" s="627"/>
      <c r="F56" s="635"/>
      <c r="G56" s="635"/>
      <c r="H56" s="629"/>
      <c r="I56" s="635"/>
      <c r="J56" s="631"/>
      <c r="K56" s="631"/>
      <c r="L56" s="635"/>
      <c r="M56" s="635"/>
      <c r="N56" s="635"/>
      <c r="O56" s="626"/>
    </row>
    <row r="57" spans="1:15">
      <c r="A57" s="647"/>
      <c r="B57" s="648" t="s">
        <v>1723</v>
      </c>
      <c r="C57" s="639" t="s">
        <v>1656</v>
      </c>
      <c r="D57" s="640">
        <v>4000</v>
      </c>
      <c r="E57" s="641">
        <v>0.44</v>
      </c>
      <c r="F57" s="642">
        <f t="shared" si="4"/>
        <v>1760</v>
      </c>
      <c r="G57" s="642">
        <f t="shared" si="5"/>
        <v>2240</v>
      </c>
      <c r="H57" s="643">
        <f t="shared" si="6"/>
        <v>0</v>
      </c>
      <c r="I57" s="642">
        <f t="shared" si="7"/>
        <v>2240</v>
      </c>
      <c r="J57" s="643">
        <v>0.1</v>
      </c>
      <c r="K57" s="644">
        <v>0.4</v>
      </c>
      <c r="L57" s="645">
        <f t="shared" si="8"/>
        <v>224</v>
      </c>
      <c r="M57" s="642">
        <f t="shared" si="9"/>
        <v>896</v>
      </c>
      <c r="N57" s="642">
        <f t="shared" si="10"/>
        <v>1120</v>
      </c>
      <c r="O57" s="639"/>
    </row>
    <row r="58" spans="1:15">
      <c r="A58" s="647"/>
      <c r="B58" s="648" t="s">
        <v>1724</v>
      </c>
      <c r="C58" s="639" t="s">
        <v>1656</v>
      </c>
      <c r="D58" s="640">
        <v>10000</v>
      </c>
      <c r="E58" s="641">
        <v>0.44</v>
      </c>
      <c r="F58" s="642">
        <f t="shared" si="4"/>
        <v>4400</v>
      </c>
      <c r="G58" s="642">
        <f t="shared" si="5"/>
        <v>5600</v>
      </c>
      <c r="H58" s="643">
        <f t="shared" si="6"/>
        <v>0</v>
      </c>
      <c r="I58" s="642">
        <f t="shared" si="7"/>
        <v>5600</v>
      </c>
      <c r="J58" s="643">
        <v>0.1</v>
      </c>
      <c r="K58" s="644">
        <v>0.7</v>
      </c>
      <c r="L58" s="645">
        <f t="shared" si="8"/>
        <v>560</v>
      </c>
      <c r="M58" s="642">
        <f t="shared" si="9"/>
        <v>3919.9999999999995</v>
      </c>
      <c r="N58" s="642">
        <f t="shared" si="10"/>
        <v>1120.0000000000005</v>
      </c>
      <c r="O58" s="639" t="s">
        <v>1725</v>
      </c>
    </row>
    <row r="59" spans="1:15">
      <c r="A59" s="647"/>
      <c r="B59" s="648" t="s">
        <v>1726</v>
      </c>
      <c r="C59" s="639" t="s">
        <v>1656</v>
      </c>
      <c r="D59" s="640">
        <v>13000</v>
      </c>
      <c r="E59" s="641">
        <v>0.44</v>
      </c>
      <c r="F59" s="642">
        <f t="shared" si="4"/>
        <v>5720</v>
      </c>
      <c r="G59" s="642">
        <f t="shared" si="5"/>
        <v>7280</v>
      </c>
      <c r="H59" s="643">
        <f t="shared" si="6"/>
        <v>0</v>
      </c>
      <c r="I59" s="642">
        <f t="shared" si="7"/>
        <v>7280</v>
      </c>
      <c r="J59" s="643">
        <v>0.1</v>
      </c>
      <c r="K59" s="644">
        <v>0.4</v>
      </c>
      <c r="L59" s="645">
        <f t="shared" si="8"/>
        <v>728</v>
      </c>
      <c r="M59" s="642">
        <f t="shared" si="9"/>
        <v>2912</v>
      </c>
      <c r="N59" s="642">
        <f t="shared" si="10"/>
        <v>3640</v>
      </c>
      <c r="O59" s="639"/>
    </row>
    <row r="60" spans="1:15">
      <c r="A60" s="647"/>
      <c r="B60" s="648" t="s">
        <v>1727</v>
      </c>
      <c r="C60" s="639" t="s">
        <v>1656</v>
      </c>
      <c r="D60" s="640">
        <v>45000</v>
      </c>
      <c r="E60" s="641">
        <v>0.44</v>
      </c>
      <c r="F60" s="642">
        <f t="shared" si="4"/>
        <v>19800</v>
      </c>
      <c r="G60" s="642">
        <f t="shared" si="5"/>
        <v>25200</v>
      </c>
      <c r="H60" s="643">
        <f t="shared" si="6"/>
        <v>0</v>
      </c>
      <c r="I60" s="642">
        <f t="shared" si="7"/>
        <v>25200</v>
      </c>
      <c r="J60" s="643">
        <v>0.1</v>
      </c>
      <c r="K60" s="644">
        <v>0.7</v>
      </c>
      <c r="L60" s="645">
        <f t="shared" si="8"/>
        <v>2520</v>
      </c>
      <c r="M60" s="642">
        <f t="shared" si="9"/>
        <v>17640</v>
      </c>
      <c r="N60" s="642">
        <f t="shared" si="10"/>
        <v>5040</v>
      </c>
      <c r="O60" s="639" t="s">
        <v>1728</v>
      </c>
    </row>
    <row r="61" spans="1:15">
      <c r="A61" s="647"/>
      <c r="B61" s="648" t="s">
        <v>1729</v>
      </c>
      <c r="C61" s="639" t="s">
        <v>1656</v>
      </c>
      <c r="D61" s="640">
        <v>5000</v>
      </c>
      <c r="E61" s="641">
        <v>0.44</v>
      </c>
      <c r="F61" s="642">
        <f t="shared" si="4"/>
        <v>2200</v>
      </c>
      <c r="G61" s="642">
        <f t="shared" si="5"/>
        <v>2800</v>
      </c>
      <c r="H61" s="643">
        <f t="shared" si="6"/>
        <v>0</v>
      </c>
      <c r="I61" s="642">
        <f t="shared" si="7"/>
        <v>2800</v>
      </c>
      <c r="J61" s="643">
        <v>0.1</v>
      </c>
      <c r="K61" s="644">
        <v>0.4</v>
      </c>
      <c r="L61" s="645">
        <f t="shared" si="8"/>
        <v>280</v>
      </c>
      <c r="M61" s="642">
        <f t="shared" si="9"/>
        <v>1120</v>
      </c>
      <c r="N61" s="642">
        <f t="shared" si="10"/>
        <v>1400</v>
      </c>
      <c r="O61" s="639"/>
    </row>
    <row r="62" spans="1:15">
      <c r="A62" s="647"/>
      <c r="B62" s="648" t="s">
        <v>1730</v>
      </c>
      <c r="C62" s="639" t="s">
        <v>1656</v>
      </c>
      <c r="D62" s="640">
        <v>3000</v>
      </c>
      <c r="E62" s="641">
        <v>0.44</v>
      </c>
      <c r="F62" s="642">
        <f t="shared" si="4"/>
        <v>1320</v>
      </c>
      <c r="G62" s="642">
        <f t="shared" si="5"/>
        <v>1680</v>
      </c>
      <c r="H62" s="643">
        <f t="shared" si="6"/>
        <v>0</v>
      </c>
      <c r="I62" s="642">
        <f t="shared" si="7"/>
        <v>1680</v>
      </c>
      <c r="J62" s="643">
        <v>0.1</v>
      </c>
      <c r="K62" s="644">
        <v>0.7</v>
      </c>
      <c r="L62" s="645">
        <f t="shared" si="8"/>
        <v>168</v>
      </c>
      <c r="M62" s="642">
        <f t="shared" si="9"/>
        <v>1176</v>
      </c>
      <c r="N62" s="642">
        <f t="shared" si="10"/>
        <v>336</v>
      </c>
      <c r="O62" s="639" t="s">
        <v>1728</v>
      </c>
    </row>
    <row r="63" spans="1:15">
      <c r="A63" s="647"/>
      <c r="B63" s="648" t="s">
        <v>1731</v>
      </c>
      <c r="C63" s="639" t="s">
        <v>1656</v>
      </c>
      <c r="D63" s="640">
        <v>5000</v>
      </c>
      <c r="E63" s="641">
        <v>0.44</v>
      </c>
      <c r="F63" s="642">
        <f t="shared" si="4"/>
        <v>2200</v>
      </c>
      <c r="G63" s="642">
        <f t="shared" si="5"/>
        <v>2800</v>
      </c>
      <c r="H63" s="643">
        <f t="shared" si="6"/>
        <v>0</v>
      </c>
      <c r="I63" s="642">
        <f t="shared" si="7"/>
        <v>2800</v>
      </c>
      <c r="J63" s="643">
        <v>0.1</v>
      </c>
      <c r="K63" s="644">
        <v>0.7</v>
      </c>
      <c r="L63" s="645">
        <f t="shared" si="8"/>
        <v>280</v>
      </c>
      <c r="M63" s="642">
        <f t="shared" si="9"/>
        <v>1959.9999999999998</v>
      </c>
      <c r="N63" s="642">
        <f t="shared" si="10"/>
        <v>560.00000000000023</v>
      </c>
      <c r="O63" s="639"/>
    </row>
    <row r="64" spans="1:15">
      <c r="A64" s="647"/>
      <c r="B64" s="648" t="s">
        <v>1732</v>
      </c>
      <c r="C64" s="639" t="s">
        <v>1656</v>
      </c>
      <c r="D64" s="640">
        <v>20000</v>
      </c>
      <c r="E64" s="641">
        <v>0.44</v>
      </c>
      <c r="F64" s="642">
        <f t="shared" si="4"/>
        <v>8800</v>
      </c>
      <c r="G64" s="642">
        <f t="shared" si="5"/>
        <v>11200</v>
      </c>
      <c r="H64" s="643">
        <f t="shared" si="6"/>
        <v>0</v>
      </c>
      <c r="I64" s="642">
        <f t="shared" si="7"/>
        <v>11200</v>
      </c>
      <c r="J64" s="643">
        <v>0.1</v>
      </c>
      <c r="K64" s="644">
        <v>0.4</v>
      </c>
      <c r="L64" s="645">
        <f t="shared" si="8"/>
        <v>1120</v>
      </c>
      <c r="M64" s="642">
        <f t="shared" si="9"/>
        <v>4480</v>
      </c>
      <c r="N64" s="642">
        <f t="shared" si="10"/>
        <v>5600</v>
      </c>
      <c r="O64" s="639"/>
    </row>
    <row r="65" spans="1:253">
      <c r="A65" s="647"/>
      <c r="B65" s="648" t="s">
        <v>1733</v>
      </c>
      <c r="C65" s="639" t="s">
        <v>1656</v>
      </c>
      <c r="D65" s="640">
        <v>15000</v>
      </c>
      <c r="E65" s="641">
        <v>0.44</v>
      </c>
      <c r="F65" s="642">
        <f t="shared" si="4"/>
        <v>6600</v>
      </c>
      <c r="G65" s="642">
        <f t="shared" si="5"/>
        <v>8400</v>
      </c>
      <c r="H65" s="643">
        <f t="shared" si="6"/>
        <v>0</v>
      </c>
      <c r="I65" s="642">
        <f t="shared" si="7"/>
        <v>8400</v>
      </c>
      <c r="J65" s="643">
        <v>0.1</v>
      </c>
      <c r="K65" s="644">
        <v>0.7</v>
      </c>
      <c r="L65" s="645">
        <f t="shared" si="8"/>
        <v>840</v>
      </c>
      <c r="M65" s="642">
        <f t="shared" si="9"/>
        <v>5880</v>
      </c>
      <c r="N65" s="642">
        <f t="shared" si="10"/>
        <v>1680</v>
      </c>
      <c r="O65" s="639"/>
    </row>
    <row r="66" spans="1:253">
      <c r="A66" s="647"/>
      <c r="B66" s="648" t="s">
        <v>1734</v>
      </c>
      <c r="C66" s="639" t="s">
        <v>1656</v>
      </c>
      <c r="D66" s="640">
        <v>5000</v>
      </c>
      <c r="E66" s="641">
        <v>0.44</v>
      </c>
      <c r="F66" s="642">
        <f t="shared" si="4"/>
        <v>2200</v>
      </c>
      <c r="G66" s="642">
        <f t="shared" si="5"/>
        <v>2800</v>
      </c>
      <c r="H66" s="643">
        <f t="shared" si="6"/>
        <v>0</v>
      </c>
      <c r="I66" s="642">
        <f t="shared" si="7"/>
        <v>2800</v>
      </c>
      <c r="J66" s="643">
        <v>0.1</v>
      </c>
      <c r="K66" s="644">
        <v>0.4</v>
      </c>
      <c r="L66" s="645">
        <f t="shared" si="8"/>
        <v>280</v>
      </c>
      <c r="M66" s="642">
        <f t="shared" si="9"/>
        <v>1120</v>
      </c>
      <c r="N66" s="642">
        <f t="shared" si="10"/>
        <v>1400</v>
      </c>
      <c r="O66" s="639"/>
    </row>
    <row r="67" spans="1:253">
      <c r="A67" s="647"/>
      <c r="B67" s="648" t="s">
        <v>1735</v>
      </c>
      <c r="C67" s="639" t="s">
        <v>1656</v>
      </c>
      <c r="D67" s="640">
        <v>17000</v>
      </c>
      <c r="E67" s="641">
        <v>0.44</v>
      </c>
      <c r="F67" s="642">
        <f t="shared" si="4"/>
        <v>7480</v>
      </c>
      <c r="G67" s="642">
        <f t="shared" si="5"/>
        <v>9520</v>
      </c>
      <c r="H67" s="643">
        <f t="shared" si="6"/>
        <v>0</v>
      </c>
      <c r="I67" s="642">
        <f t="shared" si="7"/>
        <v>9520</v>
      </c>
      <c r="J67" s="643">
        <v>0.1</v>
      </c>
      <c r="K67" s="644">
        <v>0.7</v>
      </c>
      <c r="L67" s="645">
        <f t="shared" si="8"/>
        <v>952</v>
      </c>
      <c r="M67" s="642">
        <f t="shared" si="9"/>
        <v>6664</v>
      </c>
      <c r="N67" s="642">
        <f t="shared" si="10"/>
        <v>1904</v>
      </c>
      <c r="O67" s="639"/>
      <c r="P67" s="636"/>
      <c r="Q67" s="636"/>
      <c r="R67" s="636"/>
      <c r="S67" s="636"/>
      <c r="T67" s="636"/>
      <c r="U67" s="636"/>
      <c r="V67" s="636"/>
      <c r="W67" s="636"/>
      <c r="X67" s="636"/>
      <c r="Y67" s="636"/>
      <c r="Z67" s="636"/>
      <c r="AA67" s="636"/>
      <c r="AB67" s="636"/>
      <c r="AC67" s="636"/>
      <c r="AD67" s="636"/>
      <c r="AE67" s="636"/>
      <c r="AF67" s="636"/>
      <c r="AG67" s="636"/>
      <c r="AH67" s="636"/>
      <c r="AI67" s="636"/>
      <c r="AJ67" s="636"/>
      <c r="AK67" s="636"/>
      <c r="AL67" s="636"/>
      <c r="AM67" s="636"/>
      <c r="AN67" s="636"/>
      <c r="AO67" s="636"/>
      <c r="AP67" s="636"/>
      <c r="AQ67" s="636"/>
      <c r="AR67" s="636"/>
      <c r="AS67" s="636"/>
      <c r="AT67" s="636"/>
      <c r="AU67" s="636"/>
      <c r="AV67" s="636"/>
      <c r="AW67" s="636"/>
      <c r="AX67" s="636"/>
      <c r="AY67" s="636"/>
      <c r="AZ67" s="636"/>
      <c r="BA67" s="636"/>
      <c r="BB67" s="636"/>
      <c r="BC67" s="636"/>
      <c r="BD67" s="636"/>
      <c r="BE67" s="636"/>
      <c r="BF67" s="636"/>
      <c r="BG67" s="636"/>
      <c r="BH67" s="636"/>
      <c r="BI67" s="636"/>
      <c r="BJ67" s="636"/>
      <c r="BK67" s="636"/>
      <c r="BL67" s="636"/>
      <c r="BM67" s="636"/>
      <c r="BN67" s="636"/>
      <c r="BO67" s="636"/>
      <c r="BP67" s="636"/>
      <c r="BQ67" s="636"/>
      <c r="BR67" s="636"/>
      <c r="BS67" s="636"/>
      <c r="BT67" s="636"/>
      <c r="BU67" s="636"/>
      <c r="BV67" s="636"/>
      <c r="BW67" s="636"/>
      <c r="BX67" s="636"/>
      <c r="BY67" s="636"/>
      <c r="BZ67" s="636"/>
      <c r="CA67" s="636"/>
      <c r="CB67" s="636"/>
      <c r="CC67" s="636"/>
      <c r="CD67" s="636"/>
      <c r="CE67" s="636"/>
      <c r="CF67" s="636"/>
      <c r="CG67" s="636"/>
      <c r="CH67" s="636"/>
      <c r="CI67" s="636"/>
      <c r="CJ67" s="636"/>
      <c r="CK67" s="636"/>
      <c r="CL67" s="636"/>
      <c r="CM67" s="636"/>
      <c r="CN67" s="636"/>
      <c r="CO67" s="636"/>
      <c r="CP67" s="636"/>
      <c r="CQ67" s="636"/>
      <c r="CR67" s="636"/>
      <c r="CS67" s="636"/>
      <c r="CT67" s="636"/>
      <c r="CU67" s="636"/>
      <c r="CV67" s="636"/>
      <c r="CW67" s="636"/>
      <c r="CX67" s="636"/>
      <c r="CY67" s="636"/>
      <c r="CZ67" s="636"/>
      <c r="DA67" s="636"/>
      <c r="DB67" s="636"/>
      <c r="DC67" s="636"/>
      <c r="DD67" s="636"/>
      <c r="DE67" s="636"/>
      <c r="DF67" s="636"/>
      <c r="DG67" s="636"/>
      <c r="DH67" s="636"/>
      <c r="DI67" s="636"/>
      <c r="DJ67" s="636"/>
      <c r="DK67" s="636"/>
      <c r="DL67" s="636"/>
      <c r="DM67" s="636"/>
      <c r="DN67" s="636"/>
      <c r="DO67" s="636"/>
      <c r="DP67" s="636"/>
      <c r="DQ67" s="636"/>
      <c r="DR67" s="636"/>
      <c r="DS67" s="636"/>
      <c r="DT67" s="636"/>
      <c r="DU67" s="636"/>
      <c r="DV67" s="636"/>
      <c r="DW67" s="636"/>
      <c r="DX67" s="636"/>
      <c r="DY67" s="636"/>
      <c r="DZ67" s="636"/>
      <c r="EA67" s="636"/>
      <c r="EB67" s="636"/>
      <c r="EC67" s="636"/>
      <c r="ED67" s="636"/>
      <c r="EE67" s="636"/>
      <c r="EF67" s="636"/>
      <c r="EG67" s="636"/>
      <c r="EH67" s="636"/>
      <c r="EI67" s="636"/>
      <c r="EJ67" s="636"/>
      <c r="EK67" s="636"/>
      <c r="EL67" s="636"/>
      <c r="EM67" s="636"/>
      <c r="EN67" s="636"/>
      <c r="EO67" s="636"/>
      <c r="EP67" s="636"/>
      <c r="EQ67" s="636"/>
      <c r="ER67" s="636"/>
      <c r="ES67" s="636"/>
      <c r="ET67" s="636"/>
      <c r="EU67" s="636"/>
      <c r="EV67" s="636"/>
      <c r="EW67" s="636"/>
      <c r="EX67" s="636"/>
      <c r="EY67" s="636"/>
      <c r="EZ67" s="636"/>
      <c r="FA67" s="636"/>
      <c r="FB67" s="636"/>
      <c r="FC67" s="636"/>
      <c r="FD67" s="636"/>
      <c r="FE67" s="636"/>
      <c r="FF67" s="636"/>
      <c r="FG67" s="636"/>
      <c r="FH67" s="636"/>
      <c r="FI67" s="636"/>
      <c r="FJ67" s="636"/>
      <c r="FK67" s="636"/>
      <c r="FL67" s="636"/>
      <c r="FM67" s="636"/>
      <c r="FN67" s="636"/>
      <c r="FO67" s="636"/>
      <c r="FP67" s="636"/>
      <c r="FQ67" s="636"/>
      <c r="FR67" s="636"/>
      <c r="FS67" s="636"/>
      <c r="FT67" s="636"/>
      <c r="FU67" s="636"/>
      <c r="FV67" s="636"/>
      <c r="FW67" s="636"/>
      <c r="FX67" s="636"/>
      <c r="FY67" s="636"/>
      <c r="FZ67" s="636"/>
      <c r="GA67" s="636"/>
      <c r="GB67" s="636"/>
      <c r="GC67" s="636"/>
      <c r="GD67" s="636"/>
      <c r="GE67" s="636"/>
      <c r="GF67" s="636"/>
      <c r="GG67" s="636"/>
      <c r="GH67" s="636"/>
      <c r="GI67" s="636"/>
      <c r="GJ67" s="636"/>
      <c r="GK67" s="636"/>
      <c r="GL67" s="636"/>
      <c r="GM67" s="636"/>
      <c r="GN67" s="636"/>
      <c r="GO67" s="636"/>
      <c r="GP67" s="636"/>
      <c r="GQ67" s="636"/>
      <c r="GR67" s="636"/>
      <c r="GS67" s="636"/>
      <c r="GT67" s="636"/>
      <c r="GU67" s="636"/>
      <c r="GV67" s="636"/>
      <c r="GW67" s="636"/>
      <c r="GX67" s="636"/>
      <c r="GY67" s="636"/>
      <c r="GZ67" s="636"/>
      <c r="HA67" s="636"/>
      <c r="HB67" s="636"/>
      <c r="HC67" s="636"/>
      <c r="HD67" s="636"/>
      <c r="HE67" s="636"/>
      <c r="HF67" s="636"/>
      <c r="HG67" s="636"/>
      <c r="HH67" s="636"/>
      <c r="HI67" s="636"/>
      <c r="HJ67" s="636"/>
      <c r="HK67" s="636"/>
      <c r="HL67" s="636"/>
      <c r="HM67" s="636"/>
      <c r="HN67" s="636"/>
      <c r="HO67" s="636"/>
      <c r="HP67" s="636"/>
      <c r="HQ67" s="636"/>
      <c r="HR67" s="636"/>
      <c r="HS67" s="636"/>
      <c r="HT67" s="636"/>
      <c r="HU67" s="636"/>
      <c r="HV67" s="636"/>
      <c r="HW67" s="636"/>
      <c r="HX67" s="636"/>
      <c r="HY67" s="636"/>
      <c r="HZ67" s="636"/>
      <c r="IA67" s="636"/>
      <c r="IB67" s="636"/>
      <c r="IC67" s="636"/>
      <c r="ID67" s="636"/>
      <c r="IE67" s="636"/>
      <c r="IF67" s="636"/>
      <c r="IG67" s="636"/>
      <c r="IH67" s="636"/>
      <c r="II67" s="636"/>
      <c r="IJ67" s="636"/>
      <c r="IK67" s="636"/>
      <c r="IL67" s="636"/>
      <c r="IM67" s="636"/>
      <c r="IN67" s="636"/>
      <c r="IO67" s="636"/>
      <c r="IP67" s="636"/>
      <c r="IQ67" s="636"/>
      <c r="IR67" s="636"/>
      <c r="IS67" s="636"/>
    </row>
    <row r="68" spans="1:253">
      <c r="A68" s="647"/>
      <c r="B68" s="648" t="s">
        <v>1736</v>
      </c>
      <c r="C68" s="639" t="s">
        <v>1656</v>
      </c>
      <c r="D68" s="640">
        <v>30000</v>
      </c>
      <c r="E68" s="641">
        <v>0.44</v>
      </c>
      <c r="F68" s="642">
        <f t="shared" si="4"/>
        <v>13200</v>
      </c>
      <c r="G68" s="642">
        <f t="shared" si="5"/>
        <v>16800</v>
      </c>
      <c r="H68" s="643">
        <f t="shared" si="6"/>
        <v>0</v>
      </c>
      <c r="I68" s="642">
        <f t="shared" si="7"/>
        <v>16800</v>
      </c>
      <c r="J68" s="643">
        <v>0.1</v>
      </c>
      <c r="K68" s="644">
        <v>0.7</v>
      </c>
      <c r="L68" s="645">
        <f t="shared" si="8"/>
        <v>1680</v>
      </c>
      <c r="M68" s="642">
        <f t="shared" si="9"/>
        <v>11760</v>
      </c>
      <c r="N68" s="642">
        <f t="shared" si="10"/>
        <v>3360</v>
      </c>
      <c r="O68" s="639"/>
      <c r="P68" s="636"/>
      <c r="Q68" s="636"/>
      <c r="R68" s="636"/>
      <c r="S68" s="636"/>
      <c r="T68" s="636"/>
      <c r="U68" s="636"/>
      <c r="V68" s="636"/>
      <c r="W68" s="636"/>
      <c r="X68" s="636"/>
      <c r="Y68" s="636"/>
      <c r="Z68" s="636"/>
      <c r="AA68" s="636"/>
      <c r="AB68" s="636"/>
      <c r="AC68" s="636"/>
      <c r="AD68" s="636"/>
      <c r="AE68" s="636"/>
      <c r="AF68" s="636"/>
      <c r="AG68" s="636"/>
      <c r="AH68" s="636"/>
      <c r="AI68" s="636"/>
      <c r="AJ68" s="636"/>
      <c r="AK68" s="636"/>
      <c r="AL68" s="636"/>
      <c r="AM68" s="636"/>
      <c r="AN68" s="636"/>
      <c r="AO68" s="636"/>
      <c r="AP68" s="636"/>
      <c r="AQ68" s="636"/>
      <c r="AR68" s="636"/>
      <c r="AS68" s="636"/>
      <c r="AT68" s="636"/>
      <c r="AU68" s="636"/>
      <c r="AV68" s="636"/>
      <c r="AW68" s="636"/>
      <c r="AX68" s="636"/>
      <c r="AY68" s="636"/>
      <c r="AZ68" s="636"/>
      <c r="BA68" s="636"/>
      <c r="BB68" s="636"/>
      <c r="BC68" s="636"/>
      <c r="BD68" s="636"/>
      <c r="BE68" s="636"/>
      <c r="BF68" s="636"/>
      <c r="BG68" s="636"/>
      <c r="BH68" s="636"/>
      <c r="BI68" s="636"/>
      <c r="BJ68" s="636"/>
      <c r="BK68" s="636"/>
      <c r="BL68" s="636"/>
      <c r="BM68" s="636"/>
      <c r="BN68" s="636"/>
      <c r="BO68" s="636"/>
      <c r="BP68" s="636"/>
      <c r="BQ68" s="636"/>
      <c r="BR68" s="636"/>
      <c r="BS68" s="636"/>
      <c r="BT68" s="636"/>
      <c r="BU68" s="636"/>
      <c r="BV68" s="636"/>
      <c r="BW68" s="636"/>
      <c r="BX68" s="636"/>
      <c r="BY68" s="636"/>
      <c r="BZ68" s="636"/>
      <c r="CA68" s="636"/>
      <c r="CB68" s="636"/>
      <c r="CC68" s="636"/>
      <c r="CD68" s="636"/>
      <c r="CE68" s="636"/>
      <c r="CF68" s="636"/>
      <c r="CG68" s="636"/>
      <c r="CH68" s="636"/>
      <c r="CI68" s="636"/>
      <c r="CJ68" s="636"/>
      <c r="CK68" s="636"/>
      <c r="CL68" s="636"/>
      <c r="CM68" s="636"/>
      <c r="CN68" s="636"/>
      <c r="CO68" s="636"/>
      <c r="CP68" s="636"/>
      <c r="CQ68" s="636"/>
      <c r="CR68" s="636"/>
      <c r="CS68" s="636"/>
      <c r="CT68" s="636"/>
      <c r="CU68" s="636"/>
      <c r="CV68" s="636"/>
      <c r="CW68" s="636"/>
      <c r="CX68" s="636"/>
      <c r="CY68" s="636"/>
      <c r="CZ68" s="636"/>
      <c r="DA68" s="636"/>
      <c r="DB68" s="636"/>
      <c r="DC68" s="636"/>
      <c r="DD68" s="636"/>
      <c r="DE68" s="636"/>
      <c r="DF68" s="636"/>
      <c r="DG68" s="636"/>
      <c r="DH68" s="636"/>
      <c r="DI68" s="636"/>
      <c r="DJ68" s="636"/>
      <c r="DK68" s="636"/>
      <c r="DL68" s="636"/>
      <c r="DM68" s="636"/>
      <c r="DN68" s="636"/>
      <c r="DO68" s="636"/>
      <c r="DP68" s="636"/>
      <c r="DQ68" s="636"/>
      <c r="DR68" s="636"/>
      <c r="DS68" s="636"/>
      <c r="DT68" s="636"/>
      <c r="DU68" s="636"/>
      <c r="DV68" s="636"/>
      <c r="DW68" s="636"/>
      <c r="DX68" s="636"/>
      <c r="DY68" s="636"/>
      <c r="DZ68" s="636"/>
      <c r="EA68" s="636"/>
      <c r="EB68" s="636"/>
      <c r="EC68" s="636"/>
      <c r="ED68" s="636"/>
      <c r="EE68" s="636"/>
      <c r="EF68" s="636"/>
      <c r="EG68" s="636"/>
      <c r="EH68" s="636"/>
      <c r="EI68" s="636"/>
      <c r="EJ68" s="636"/>
      <c r="EK68" s="636"/>
      <c r="EL68" s="636"/>
      <c r="EM68" s="636"/>
      <c r="EN68" s="636"/>
      <c r="EO68" s="636"/>
      <c r="EP68" s="636"/>
      <c r="EQ68" s="636"/>
      <c r="ER68" s="636"/>
      <c r="ES68" s="636"/>
      <c r="ET68" s="636"/>
      <c r="EU68" s="636"/>
      <c r="EV68" s="636"/>
      <c r="EW68" s="636"/>
      <c r="EX68" s="636"/>
      <c r="EY68" s="636"/>
      <c r="EZ68" s="636"/>
      <c r="FA68" s="636"/>
      <c r="FB68" s="636"/>
      <c r="FC68" s="636"/>
      <c r="FD68" s="636"/>
      <c r="FE68" s="636"/>
      <c r="FF68" s="636"/>
      <c r="FG68" s="636"/>
      <c r="FH68" s="636"/>
      <c r="FI68" s="636"/>
      <c r="FJ68" s="636"/>
      <c r="FK68" s="636"/>
      <c r="FL68" s="636"/>
      <c r="FM68" s="636"/>
      <c r="FN68" s="636"/>
      <c r="FO68" s="636"/>
      <c r="FP68" s="636"/>
      <c r="FQ68" s="636"/>
      <c r="FR68" s="636"/>
      <c r="FS68" s="636"/>
      <c r="FT68" s="636"/>
      <c r="FU68" s="636"/>
      <c r="FV68" s="636"/>
      <c r="FW68" s="636"/>
      <c r="FX68" s="636"/>
      <c r="FY68" s="636"/>
      <c r="FZ68" s="636"/>
      <c r="GA68" s="636"/>
      <c r="GB68" s="636"/>
      <c r="GC68" s="636"/>
      <c r="GD68" s="636"/>
      <c r="GE68" s="636"/>
      <c r="GF68" s="636"/>
      <c r="GG68" s="636"/>
      <c r="GH68" s="636"/>
      <c r="GI68" s="636"/>
      <c r="GJ68" s="636"/>
      <c r="GK68" s="636"/>
      <c r="GL68" s="636"/>
      <c r="GM68" s="636"/>
      <c r="GN68" s="636"/>
      <c r="GO68" s="636"/>
      <c r="GP68" s="636"/>
      <c r="GQ68" s="636"/>
      <c r="GR68" s="636"/>
      <c r="GS68" s="636"/>
      <c r="GT68" s="636"/>
      <c r="GU68" s="636"/>
      <c r="GV68" s="636"/>
      <c r="GW68" s="636"/>
      <c r="GX68" s="636"/>
      <c r="GY68" s="636"/>
      <c r="GZ68" s="636"/>
      <c r="HA68" s="636"/>
      <c r="HB68" s="636"/>
      <c r="HC68" s="636"/>
      <c r="HD68" s="636"/>
      <c r="HE68" s="636"/>
      <c r="HF68" s="636"/>
      <c r="HG68" s="636"/>
      <c r="HH68" s="636"/>
      <c r="HI68" s="636"/>
      <c r="HJ68" s="636"/>
      <c r="HK68" s="636"/>
      <c r="HL68" s="636"/>
      <c r="HM68" s="636"/>
      <c r="HN68" s="636"/>
      <c r="HO68" s="636"/>
      <c r="HP68" s="636"/>
      <c r="HQ68" s="636"/>
      <c r="HR68" s="636"/>
      <c r="HS68" s="636"/>
      <c r="HT68" s="636"/>
      <c r="HU68" s="636"/>
      <c r="HV68" s="636"/>
      <c r="HW68" s="636"/>
      <c r="HX68" s="636"/>
      <c r="HY68" s="636"/>
      <c r="HZ68" s="636"/>
      <c r="IA68" s="636"/>
      <c r="IB68" s="636"/>
      <c r="IC68" s="636"/>
      <c r="ID68" s="636"/>
      <c r="IE68" s="636"/>
      <c r="IF68" s="636"/>
      <c r="IG68" s="636"/>
      <c r="IH68" s="636"/>
      <c r="II68" s="636"/>
      <c r="IJ68" s="636"/>
      <c r="IK68" s="636"/>
      <c r="IL68" s="636"/>
      <c r="IM68" s="636"/>
      <c r="IN68" s="636"/>
      <c r="IO68" s="636"/>
      <c r="IP68" s="636"/>
      <c r="IQ68" s="636"/>
      <c r="IR68" s="636"/>
      <c r="IS68" s="636"/>
    </row>
    <row r="69" spans="1:253" ht="13.5">
      <c r="A69" s="649"/>
      <c r="B69" s="650" t="s">
        <v>1737</v>
      </c>
      <c r="C69" s="639" t="s">
        <v>1656</v>
      </c>
      <c r="D69" s="651">
        <v>80000</v>
      </c>
      <c r="E69" s="652">
        <v>0</v>
      </c>
      <c r="F69" s="653">
        <f t="shared" si="4"/>
        <v>0</v>
      </c>
      <c r="G69" s="653">
        <f t="shared" si="5"/>
        <v>80000</v>
      </c>
      <c r="H69" s="643">
        <f t="shared" si="6"/>
        <v>0</v>
      </c>
      <c r="I69" s="653">
        <f t="shared" si="7"/>
        <v>80000</v>
      </c>
      <c r="J69" s="654">
        <v>0.1</v>
      </c>
      <c r="K69" s="655">
        <v>0.4</v>
      </c>
      <c r="L69" s="645">
        <f t="shared" si="8"/>
        <v>8000</v>
      </c>
      <c r="M69" s="642">
        <f t="shared" si="9"/>
        <v>32000</v>
      </c>
      <c r="N69" s="642">
        <f t="shared" si="10"/>
        <v>40000</v>
      </c>
      <c r="O69" s="656" t="s">
        <v>1738</v>
      </c>
      <c r="P69" s="657"/>
      <c r="Q69" s="657"/>
      <c r="R69" s="657"/>
      <c r="S69" s="657"/>
      <c r="T69" s="657"/>
      <c r="U69" s="657"/>
      <c r="V69" s="657"/>
      <c r="W69" s="657"/>
      <c r="X69" s="657"/>
      <c r="Y69" s="657"/>
      <c r="Z69" s="657"/>
      <c r="AA69" s="657"/>
      <c r="AB69" s="657"/>
      <c r="AC69" s="657"/>
      <c r="AD69" s="657"/>
      <c r="AE69" s="657"/>
      <c r="AF69" s="657"/>
      <c r="AG69" s="657"/>
      <c r="AH69" s="657"/>
      <c r="AI69" s="657"/>
      <c r="AJ69" s="657"/>
      <c r="AK69" s="657"/>
      <c r="AL69" s="657"/>
      <c r="AM69" s="657"/>
      <c r="AN69" s="657"/>
      <c r="AO69" s="657"/>
      <c r="AP69" s="657"/>
      <c r="AQ69" s="657"/>
      <c r="AR69" s="657"/>
      <c r="AS69" s="657"/>
      <c r="AT69" s="657"/>
      <c r="AU69" s="657"/>
      <c r="AV69" s="657"/>
      <c r="AW69" s="657"/>
      <c r="AX69" s="657"/>
      <c r="AY69" s="657"/>
      <c r="AZ69" s="657"/>
      <c r="BA69" s="657"/>
      <c r="BB69" s="657"/>
      <c r="BC69" s="657"/>
      <c r="BD69" s="657"/>
      <c r="BE69" s="657"/>
      <c r="BF69" s="657"/>
      <c r="BG69" s="657"/>
      <c r="BH69" s="657"/>
      <c r="BI69" s="657"/>
      <c r="BJ69" s="657"/>
      <c r="BK69" s="657"/>
      <c r="BL69" s="657"/>
      <c r="BM69" s="657"/>
      <c r="BN69" s="657"/>
      <c r="BO69" s="657"/>
      <c r="BP69" s="657"/>
      <c r="BQ69" s="657"/>
      <c r="BR69" s="657"/>
      <c r="BS69" s="657"/>
      <c r="BT69" s="657"/>
      <c r="BU69" s="657"/>
      <c r="BV69" s="657"/>
      <c r="BW69" s="657"/>
      <c r="BX69" s="657"/>
      <c r="BY69" s="657"/>
      <c r="BZ69" s="657"/>
      <c r="CA69" s="657"/>
      <c r="CB69" s="657"/>
      <c r="CC69" s="657"/>
      <c r="CD69" s="657"/>
      <c r="CE69" s="657"/>
      <c r="CF69" s="657"/>
      <c r="CG69" s="657"/>
      <c r="CH69" s="657"/>
      <c r="CI69" s="657"/>
      <c r="CJ69" s="657"/>
      <c r="CK69" s="657"/>
      <c r="CL69" s="657"/>
      <c r="CM69" s="657"/>
      <c r="CN69" s="657"/>
      <c r="CO69" s="657"/>
      <c r="CP69" s="657"/>
      <c r="CQ69" s="657"/>
      <c r="CR69" s="657"/>
      <c r="CS69" s="657"/>
      <c r="CT69" s="657"/>
      <c r="CU69" s="657"/>
      <c r="CV69" s="657"/>
      <c r="CW69" s="657"/>
      <c r="CX69" s="657"/>
      <c r="CY69" s="657"/>
      <c r="CZ69" s="657"/>
      <c r="DA69" s="657"/>
      <c r="DB69" s="657"/>
      <c r="DC69" s="657"/>
      <c r="DD69" s="657"/>
      <c r="DE69" s="657"/>
      <c r="DF69" s="657"/>
      <c r="DG69" s="657"/>
      <c r="DH69" s="657"/>
      <c r="DI69" s="657"/>
      <c r="DJ69" s="657"/>
      <c r="DK69" s="657"/>
      <c r="DL69" s="657"/>
      <c r="DM69" s="657"/>
      <c r="DN69" s="657"/>
      <c r="DO69" s="657"/>
      <c r="DP69" s="657"/>
      <c r="DQ69" s="657"/>
      <c r="DR69" s="657"/>
      <c r="DS69" s="657"/>
      <c r="DT69" s="657"/>
      <c r="DU69" s="657"/>
      <c r="DV69" s="657"/>
      <c r="DW69" s="657"/>
      <c r="DX69" s="657"/>
      <c r="DY69" s="657"/>
      <c r="DZ69" s="657"/>
      <c r="EA69" s="657"/>
      <c r="EB69" s="657"/>
      <c r="EC69" s="657"/>
      <c r="ED69" s="657"/>
      <c r="EE69" s="657"/>
      <c r="EF69" s="657"/>
      <c r="EG69" s="657"/>
      <c r="EH69" s="657"/>
      <c r="EI69" s="657"/>
      <c r="EJ69" s="657"/>
      <c r="EK69" s="657"/>
      <c r="EL69" s="657"/>
      <c r="EM69" s="657"/>
      <c r="EN69" s="657"/>
      <c r="EO69" s="657"/>
      <c r="EP69" s="657"/>
      <c r="EQ69" s="657"/>
      <c r="ER69" s="657"/>
      <c r="ES69" s="657"/>
      <c r="ET69" s="657"/>
      <c r="EU69" s="657"/>
      <c r="EV69" s="657"/>
      <c r="EW69" s="657"/>
      <c r="EX69" s="657"/>
      <c r="EY69" s="657"/>
      <c r="EZ69" s="657"/>
      <c r="FA69" s="657"/>
      <c r="FB69" s="657"/>
      <c r="FC69" s="657"/>
      <c r="FD69" s="657"/>
      <c r="FE69" s="657"/>
      <c r="FF69" s="657"/>
      <c r="FG69" s="657"/>
      <c r="FH69" s="657"/>
      <c r="FI69" s="657"/>
      <c r="FJ69" s="657"/>
      <c r="FK69" s="657"/>
      <c r="FL69" s="657"/>
      <c r="FM69" s="657"/>
      <c r="FN69" s="657"/>
      <c r="FO69" s="657"/>
      <c r="FP69" s="657"/>
      <c r="FQ69" s="657"/>
      <c r="FR69" s="657"/>
      <c r="FS69" s="657"/>
      <c r="FT69" s="657"/>
      <c r="FU69" s="657"/>
      <c r="FV69" s="657"/>
      <c r="FW69" s="657"/>
      <c r="FX69" s="657"/>
      <c r="FY69" s="657"/>
      <c r="FZ69" s="657"/>
      <c r="GA69" s="657"/>
      <c r="GB69" s="657"/>
      <c r="GC69" s="657"/>
      <c r="GD69" s="657"/>
      <c r="GE69" s="657"/>
      <c r="GF69" s="657"/>
      <c r="GG69" s="657"/>
      <c r="GH69" s="657"/>
      <c r="GI69" s="657"/>
      <c r="GJ69" s="657"/>
      <c r="GK69" s="657"/>
      <c r="GL69" s="657"/>
      <c r="GM69" s="657"/>
      <c r="GN69" s="657"/>
      <c r="GO69" s="657"/>
      <c r="GP69" s="657"/>
      <c r="GQ69" s="657"/>
      <c r="GR69" s="657"/>
      <c r="GS69" s="657"/>
      <c r="GT69" s="657"/>
      <c r="GU69" s="657"/>
      <c r="GV69" s="657"/>
      <c r="GW69" s="657"/>
      <c r="GX69" s="657"/>
      <c r="GY69" s="657"/>
      <c r="GZ69" s="657"/>
      <c r="HA69" s="657"/>
      <c r="HB69" s="657"/>
      <c r="HC69" s="657"/>
      <c r="HD69" s="657"/>
      <c r="HE69" s="657"/>
      <c r="HF69" s="657"/>
      <c r="HG69" s="657"/>
      <c r="HH69" s="657"/>
      <c r="HI69" s="657"/>
      <c r="HJ69" s="657"/>
      <c r="HK69" s="657"/>
      <c r="HL69" s="657"/>
      <c r="HM69" s="657"/>
      <c r="HN69" s="657"/>
      <c r="HO69" s="657"/>
      <c r="HP69" s="657"/>
      <c r="HQ69" s="657"/>
      <c r="HR69" s="657"/>
      <c r="HS69" s="657"/>
      <c r="HT69" s="657"/>
      <c r="HU69" s="657"/>
      <c r="HV69" s="657"/>
      <c r="HW69" s="657"/>
      <c r="HX69" s="657"/>
      <c r="HY69" s="657"/>
      <c r="HZ69" s="657"/>
      <c r="IA69" s="657"/>
      <c r="IB69" s="657"/>
      <c r="IC69" s="657"/>
      <c r="ID69" s="657"/>
      <c r="IE69" s="657"/>
      <c r="IF69" s="657"/>
      <c r="IG69" s="657"/>
      <c r="IH69" s="657"/>
      <c r="II69" s="657"/>
      <c r="IJ69" s="657"/>
      <c r="IK69" s="657"/>
      <c r="IL69" s="657"/>
      <c r="IM69" s="657"/>
      <c r="IN69" s="657"/>
      <c r="IO69" s="657"/>
      <c r="IP69" s="657"/>
      <c r="IQ69" s="657"/>
      <c r="IR69" s="657"/>
      <c r="IS69" s="657"/>
    </row>
    <row r="70" spans="1:253">
      <c r="A70" s="623" t="s">
        <v>556</v>
      </c>
      <c r="B70" s="624" t="s">
        <v>1739</v>
      </c>
      <c r="C70" s="634"/>
      <c r="D70" s="635"/>
      <c r="E70" s="627"/>
      <c r="F70" s="635"/>
      <c r="G70" s="635"/>
      <c r="H70" s="629"/>
      <c r="I70" s="635"/>
      <c r="J70" s="631"/>
      <c r="K70" s="631"/>
      <c r="L70" s="635"/>
      <c r="M70" s="635"/>
      <c r="N70" s="635"/>
      <c r="O70" s="626"/>
      <c r="P70" s="636"/>
      <c r="Q70" s="636"/>
      <c r="R70" s="636"/>
      <c r="S70" s="636"/>
      <c r="T70" s="636"/>
      <c r="U70" s="636"/>
      <c r="V70" s="636"/>
      <c r="W70" s="636"/>
      <c r="X70" s="636"/>
      <c r="Y70" s="636"/>
      <c r="Z70" s="636"/>
      <c r="AA70" s="636"/>
      <c r="AB70" s="636"/>
      <c r="AC70" s="636"/>
      <c r="AD70" s="636"/>
      <c r="AE70" s="636"/>
      <c r="AF70" s="636"/>
      <c r="AG70" s="636"/>
      <c r="AH70" s="636"/>
      <c r="AI70" s="636"/>
      <c r="AJ70" s="636"/>
      <c r="AK70" s="636"/>
      <c r="AL70" s="636"/>
      <c r="AM70" s="636"/>
      <c r="AN70" s="636"/>
      <c r="AO70" s="636"/>
      <c r="AP70" s="636"/>
      <c r="AQ70" s="636"/>
      <c r="AR70" s="636"/>
      <c r="AS70" s="636"/>
      <c r="AT70" s="636"/>
      <c r="AU70" s="636"/>
      <c r="AV70" s="636"/>
      <c r="AW70" s="636"/>
      <c r="AX70" s="636"/>
      <c r="AY70" s="636"/>
      <c r="AZ70" s="636"/>
      <c r="BA70" s="636"/>
      <c r="BB70" s="636"/>
      <c r="BC70" s="636"/>
      <c r="BD70" s="636"/>
      <c r="BE70" s="636"/>
      <c r="BF70" s="636"/>
      <c r="BG70" s="636"/>
      <c r="BH70" s="636"/>
      <c r="BI70" s="636"/>
      <c r="BJ70" s="636"/>
      <c r="BK70" s="636"/>
      <c r="BL70" s="636"/>
      <c r="BM70" s="636"/>
      <c r="BN70" s="636"/>
      <c r="BO70" s="636"/>
      <c r="BP70" s="636"/>
      <c r="BQ70" s="636"/>
      <c r="BR70" s="636"/>
      <c r="BS70" s="636"/>
      <c r="BT70" s="636"/>
      <c r="BU70" s="636"/>
      <c r="BV70" s="636"/>
      <c r="BW70" s="636"/>
      <c r="BX70" s="636"/>
      <c r="BY70" s="636"/>
      <c r="BZ70" s="636"/>
      <c r="CA70" s="636"/>
      <c r="CB70" s="636"/>
      <c r="CC70" s="636"/>
      <c r="CD70" s="636"/>
      <c r="CE70" s="636"/>
      <c r="CF70" s="636"/>
      <c r="CG70" s="636"/>
      <c r="CH70" s="636"/>
      <c r="CI70" s="636"/>
      <c r="CJ70" s="636"/>
      <c r="CK70" s="636"/>
      <c r="CL70" s="636"/>
      <c r="CM70" s="636"/>
      <c r="CN70" s="636"/>
      <c r="CO70" s="636"/>
      <c r="CP70" s="636"/>
      <c r="CQ70" s="636"/>
      <c r="CR70" s="636"/>
      <c r="CS70" s="636"/>
      <c r="CT70" s="636"/>
      <c r="CU70" s="636"/>
      <c r="CV70" s="636"/>
      <c r="CW70" s="636"/>
      <c r="CX70" s="636"/>
      <c r="CY70" s="636"/>
      <c r="CZ70" s="636"/>
      <c r="DA70" s="636"/>
      <c r="DB70" s="636"/>
      <c r="DC70" s="636"/>
      <c r="DD70" s="636"/>
      <c r="DE70" s="636"/>
      <c r="DF70" s="636"/>
      <c r="DG70" s="636"/>
      <c r="DH70" s="636"/>
      <c r="DI70" s="636"/>
      <c r="DJ70" s="636"/>
      <c r="DK70" s="636"/>
      <c r="DL70" s="636"/>
      <c r="DM70" s="636"/>
      <c r="DN70" s="636"/>
      <c r="DO70" s="636"/>
      <c r="DP70" s="636"/>
      <c r="DQ70" s="636"/>
      <c r="DR70" s="636"/>
      <c r="DS70" s="636"/>
      <c r="DT70" s="636"/>
      <c r="DU70" s="636"/>
      <c r="DV70" s="636"/>
      <c r="DW70" s="636"/>
      <c r="DX70" s="636"/>
      <c r="DY70" s="636"/>
      <c r="DZ70" s="636"/>
      <c r="EA70" s="636"/>
      <c r="EB70" s="636"/>
      <c r="EC70" s="636"/>
      <c r="ED70" s="636"/>
      <c r="EE70" s="636"/>
      <c r="EF70" s="636"/>
      <c r="EG70" s="636"/>
      <c r="EH70" s="636"/>
      <c r="EI70" s="636"/>
      <c r="EJ70" s="636"/>
      <c r="EK70" s="636"/>
      <c r="EL70" s="636"/>
      <c r="EM70" s="636"/>
      <c r="EN70" s="636"/>
      <c r="EO70" s="636"/>
      <c r="EP70" s="636"/>
      <c r="EQ70" s="636"/>
      <c r="ER70" s="636"/>
      <c r="ES70" s="636"/>
      <c r="ET70" s="636"/>
      <c r="EU70" s="636"/>
      <c r="EV70" s="636"/>
      <c r="EW70" s="636"/>
      <c r="EX70" s="636"/>
      <c r="EY70" s="636"/>
      <c r="EZ70" s="636"/>
      <c r="FA70" s="636"/>
      <c r="FB70" s="636"/>
      <c r="FC70" s="636"/>
      <c r="FD70" s="636"/>
      <c r="FE70" s="636"/>
      <c r="FF70" s="636"/>
      <c r="FG70" s="636"/>
      <c r="FH70" s="636"/>
      <c r="FI70" s="636"/>
      <c r="FJ70" s="636"/>
      <c r="FK70" s="636"/>
      <c r="FL70" s="636"/>
      <c r="FM70" s="636"/>
      <c r="FN70" s="636"/>
      <c r="FO70" s="636"/>
      <c r="FP70" s="636"/>
      <c r="FQ70" s="636"/>
      <c r="FR70" s="636"/>
      <c r="FS70" s="636"/>
      <c r="FT70" s="636"/>
      <c r="FU70" s="636"/>
      <c r="FV70" s="636"/>
      <c r="FW70" s="636"/>
      <c r="FX70" s="636"/>
      <c r="FY70" s="636"/>
      <c r="FZ70" s="636"/>
      <c r="GA70" s="636"/>
      <c r="GB70" s="636"/>
      <c r="GC70" s="636"/>
      <c r="GD70" s="636"/>
      <c r="GE70" s="636"/>
      <c r="GF70" s="636"/>
      <c r="GG70" s="636"/>
      <c r="GH70" s="636"/>
      <c r="GI70" s="636"/>
      <c r="GJ70" s="636"/>
      <c r="GK70" s="636"/>
      <c r="GL70" s="636"/>
      <c r="GM70" s="636"/>
      <c r="GN70" s="636"/>
      <c r="GO70" s="636"/>
      <c r="GP70" s="636"/>
      <c r="GQ70" s="636"/>
      <c r="GR70" s="636"/>
      <c r="GS70" s="636"/>
      <c r="GT70" s="636"/>
      <c r="GU70" s="636"/>
      <c r="GV70" s="636"/>
      <c r="GW70" s="636"/>
      <c r="GX70" s="636"/>
      <c r="GY70" s="636"/>
      <c r="GZ70" s="636"/>
      <c r="HA70" s="636"/>
      <c r="HB70" s="636"/>
      <c r="HC70" s="636"/>
      <c r="HD70" s="636"/>
      <c r="HE70" s="636"/>
      <c r="HF70" s="636"/>
      <c r="HG70" s="636"/>
      <c r="HH70" s="636"/>
      <c r="HI70" s="636"/>
      <c r="HJ70" s="636"/>
      <c r="HK70" s="636"/>
      <c r="HL70" s="636"/>
      <c r="HM70" s="636"/>
      <c r="HN70" s="636"/>
      <c r="HO70" s="636"/>
      <c r="HP70" s="636"/>
      <c r="HQ70" s="636"/>
      <c r="HR70" s="636"/>
      <c r="HS70" s="636"/>
      <c r="HT70" s="636"/>
      <c r="HU70" s="636"/>
      <c r="HV70" s="636"/>
      <c r="HW70" s="636"/>
      <c r="HX70" s="636"/>
      <c r="HY70" s="636"/>
      <c r="HZ70" s="636"/>
      <c r="IA70" s="636"/>
      <c r="IB70" s="636"/>
      <c r="IC70" s="636"/>
      <c r="ID70" s="636"/>
      <c r="IE70" s="636"/>
      <c r="IF70" s="636"/>
      <c r="IG70" s="636"/>
      <c r="IH70" s="636"/>
      <c r="II70" s="636"/>
      <c r="IJ70" s="636"/>
      <c r="IK70" s="636"/>
      <c r="IL70" s="636"/>
      <c r="IM70" s="636"/>
      <c r="IN70" s="636"/>
      <c r="IO70" s="636"/>
      <c r="IP70" s="636"/>
      <c r="IQ70" s="636"/>
      <c r="IR70" s="636"/>
      <c r="IS70" s="636"/>
    </row>
    <row r="71" spans="1:253" ht="25.5">
      <c r="A71" s="647"/>
      <c r="B71" s="648" t="s">
        <v>1740</v>
      </c>
      <c r="C71" s="639" t="s">
        <v>1661</v>
      </c>
      <c r="D71" s="640">
        <v>4000</v>
      </c>
      <c r="E71" s="641">
        <v>0.4</v>
      </c>
      <c r="F71" s="642">
        <f t="shared" ref="F71:F80" si="14">D71*E71</f>
        <v>1600</v>
      </c>
      <c r="G71" s="642">
        <f t="shared" ref="G71:G80" si="15">D71-F71</f>
        <v>2400</v>
      </c>
      <c r="H71" s="643">
        <f t="shared" si="6"/>
        <v>0</v>
      </c>
      <c r="I71" s="642">
        <f t="shared" si="7"/>
        <v>2400</v>
      </c>
      <c r="J71" s="643">
        <v>0.1</v>
      </c>
      <c r="K71" s="658">
        <v>0.8</v>
      </c>
      <c r="L71" s="645">
        <f t="shared" si="8"/>
        <v>240</v>
      </c>
      <c r="M71" s="642">
        <f t="shared" si="9"/>
        <v>1920</v>
      </c>
      <c r="N71" s="642">
        <f t="shared" si="10"/>
        <v>240</v>
      </c>
      <c r="O71" s="639" t="s">
        <v>556</v>
      </c>
    </row>
    <row r="72" spans="1:253">
      <c r="A72" s="647"/>
      <c r="B72" s="648" t="s">
        <v>1741</v>
      </c>
      <c r="C72" s="639" t="s">
        <v>1661</v>
      </c>
      <c r="D72" s="640">
        <v>2527</v>
      </c>
      <c r="E72" s="641">
        <v>0.4</v>
      </c>
      <c r="F72" s="642">
        <f t="shared" si="14"/>
        <v>1010.8000000000001</v>
      </c>
      <c r="G72" s="642">
        <f t="shared" si="15"/>
        <v>1516.1999999999998</v>
      </c>
      <c r="H72" s="643">
        <f t="shared" si="6"/>
        <v>0</v>
      </c>
      <c r="I72" s="642">
        <f t="shared" si="7"/>
        <v>1516.1999999999998</v>
      </c>
      <c r="J72" s="643">
        <v>0.1</v>
      </c>
      <c r="K72" s="658">
        <v>0.8</v>
      </c>
      <c r="L72" s="645">
        <f t="shared" si="8"/>
        <v>151.61999999999998</v>
      </c>
      <c r="M72" s="642">
        <f t="shared" si="9"/>
        <v>1212.9599999999998</v>
      </c>
      <c r="N72" s="642">
        <f t="shared" si="10"/>
        <v>151.62000000000012</v>
      </c>
      <c r="O72" s="639"/>
    </row>
    <row r="73" spans="1:253" ht="25.5">
      <c r="A73" s="647"/>
      <c r="B73" s="648" t="s">
        <v>1742</v>
      </c>
      <c r="C73" s="639" t="s">
        <v>1661</v>
      </c>
      <c r="D73" s="640">
        <v>4500</v>
      </c>
      <c r="E73" s="641">
        <v>0.4</v>
      </c>
      <c r="F73" s="642">
        <f t="shared" si="14"/>
        <v>1800</v>
      </c>
      <c r="G73" s="642">
        <f t="shared" si="15"/>
        <v>2700</v>
      </c>
      <c r="H73" s="643">
        <f t="shared" si="6"/>
        <v>0</v>
      </c>
      <c r="I73" s="642">
        <f t="shared" si="7"/>
        <v>2700</v>
      </c>
      <c r="J73" s="643">
        <v>0.1</v>
      </c>
      <c r="K73" s="658">
        <v>0.6</v>
      </c>
      <c r="L73" s="645">
        <f t="shared" si="8"/>
        <v>270</v>
      </c>
      <c r="M73" s="642">
        <f t="shared" si="9"/>
        <v>1620</v>
      </c>
      <c r="N73" s="642">
        <f t="shared" si="10"/>
        <v>810</v>
      </c>
      <c r="O73" s="639"/>
    </row>
    <row r="74" spans="1:253" ht="25.5">
      <c r="A74" s="647"/>
      <c r="B74" s="648" t="s">
        <v>1743</v>
      </c>
      <c r="C74" s="639" t="s">
        <v>1661</v>
      </c>
      <c r="D74" s="640">
        <v>58000</v>
      </c>
      <c r="E74" s="641">
        <v>0.4</v>
      </c>
      <c r="F74" s="642">
        <f t="shared" si="14"/>
        <v>23200</v>
      </c>
      <c r="G74" s="642">
        <f t="shared" si="15"/>
        <v>34800</v>
      </c>
      <c r="H74" s="643">
        <f t="shared" si="6"/>
        <v>0</v>
      </c>
      <c r="I74" s="642">
        <f t="shared" si="7"/>
        <v>34800</v>
      </c>
      <c r="J74" s="643">
        <v>0.1</v>
      </c>
      <c r="K74" s="658">
        <v>0.6</v>
      </c>
      <c r="L74" s="645">
        <f t="shared" si="8"/>
        <v>3480</v>
      </c>
      <c r="M74" s="642">
        <f t="shared" si="9"/>
        <v>20880</v>
      </c>
      <c r="N74" s="642">
        <f t="shared" si="10"/>
        <v>10440</v>
      </c>
      <c r="O74" s="639"/>
    </row>
    <row r="75" spans="1:253">
      <c r="A75" s="647"/>
      <c r="B75" s="648" t="s">
        <v>1744</v>
      </c>
      <c r="C75" s="639" t="s">
        <v>1661</v>
      </c>
      <c r="D75" s="640">
        <v>10000</v>
      </c>
      <c r="E75" s="641">
        <v>0.4</v>
      </c>
      <c r="F75" s="642">
        <f t="shared" si="14"/>
        <v>4000</v>
      </c>
      <c r="G75" s="642">
        <f t="shared" si="15"/>
        <v>6000</v>
      </c>
      <c r="H75" s="643">
        <f t="shared" si="6"/>
        <v>0</v>
      </c>
      <c r="I75" s="642">
        <f t="shared" si="7"/>
        <v>6000</v>
      </c>
      <c r="J75" s="643">
        <v>0.1</v>
      </c>
      <c r="K75" s="658">
        <v>0.7</v>
      </c>
      <c r="L75" s="645">
        <f t="shared" si="8"/>
        <v>600</v>
      </c>
      <c r="M75" s="642">
        <f t="shared" si="9"/>
        <v>4200</v>
      </c>
      <c r="N75" s="642">
        <f t="shared" si="10"/>
        <v>1200</v>
      </c>
      <c r="O75" s="639"/>
      <c r="P75" s="636"/>
      <c r="Q75" s="636"/>
      <c r="R75" s="636"/>
      <c r="S75" s="636"/>
      <c r="T75" s="636"/>
      <c r="U75" s="636"/>
      <c r="V75" s="636"/>
      <c r="W75" s="636"/>
      <c r="X75" s="636"/>
      <c r="Y75" s="636"/>
      <c r="Z75" s="636"/>
      <c r="AA75" s="636"/>
      <c r="AB75" s="636"/>
      <c r="AC75" s="636"/>
      <c r="AD75" s="636"/>
      <c r="AE75" s="636"/>
      <c r="AF75" s="636"/>
      <c r="AG75" s="636"/>
      <c r="AH75" s="636"/>
      <c r="AI75" s="636"/>
      <c r="AJ75" s="636"/>
      <c r="AK75" s="636"/>
      <c r="AL75" s="636"/>
      <c r="AM75" s="636"/>
      <c r="AN75" s="636"/>
      <c r="AO75" s="636"/>
      <c r="AP75" s="636"/>
      <c r="AQ75" s="636"/>
      <c r="AR75" s="636"/>
      <c r="AS75" s="636"/>
      <c r="AT75" s="636"/>
      <c r="AU75" s="636"/>
      <c r="AV75" s="636"/>
      <c r="AW75" s="636"/>
      <c r="AX75" s="636"/>
      <c r="AY75" s="636"/>
      <c r="AZ75" s="636"/>
      <c r="BA75" s="636"/>
      <c r="BB75" s="636"/>
      <c r="BC75" s="636"/>
      <c r="BD75" s="636"/>
      <c r="BE75" s="636"/>
      <c r="BF75" s="636"/>
      <c r="BG75" s="636"/>
      <c r="BH75" s="636"/>
      <c r="BI75" s="636"/>
      <c r="BJ75" s="636"/>
      <c r="BK75" s="636"/>
      <c r="BL75" s="636"/>
      <c r="BM75" s="636"/>
      <c r="BN75" s="636"/>
      <c r="BO75" s="636"/>
      <c r="BP75" s="636"/>
      <c r="BQ75" s="636"/>
      <c r="BR75" s="636"/>
      <c r="BS75" s="636"/>
      <c r="BT75" s="636"/>
      <c r="BU75" s="636"/>
      <c r="BV75" s="636"/>
      <c r="BW75" s="636"/>
      <c r="BX75" s="636"/>
      <c r="BY75" s="636"/>
      <c r="BZ75" s="636"/>
      <c r="CA75" s="636"/>
      <c r="CB75" s="636"/>
      <c r="CC75" s="636"/>
      <c r="CD75" s="636"/>
      <c r="CE75" s="636"/>
      <c r="CF75" s="636"/>
      <c r="CG75" s="636"/>
      <c r="CH75" s="636"/>
      <c r="CI75" s="636"/>
      <c r="CJ75" s="636"/>
      <c r="CK75" s="636"/>
      <c r="CL75" s="636"/>
      <c r="CM75" s="636"/>
      <c r="CN75" s="636"/>
      <c r="CO75" s="636"/>
      <c r="CP75" s="636"/>
      <c r="CQ75" s="636"/>
      <c r="CR75" s="636"/>
      <c r="CS75" s="636"/>
      <c r="CT75" s="636"/>
      <c r="CU75" s="636"/>
      <c r="CV75" s="636"/>
      <c r="CW75" s="636"/>
      <c r="CX75" s="636"/>
      <c r="CY75" s="636"/>
      <c r="CZ75" s="636"/>
      <c r="DA75" s="636"/>
      <c r="DB75" s="636"/>
      <c r="DC75" s="636"/>
      <c r="DD75" s="636"/>
      <c r="DE75" s="636"/>
      <c r="DF75" s="636"/>
      <c r="DG75" s="636"/>
      <c r="DH75" s="636"/>
      <c r="DI75" s="636"/>
      <c r="DJ75" s="636"/>
      <c r="DK75" s="636"/>
      <c r="DL75" s="636"/>
      <c r="DM75" s="636"/>
      <c r="DN75" s="636"/>
      <c r="DO75" s="636"/>
      <c r="DP75" s="636"/>
      <c r="DQ75" s="636"/>
      <c r="DR75" s="636"/>
      <c r="DS75" s="636"/>
      <c r="DT75" s="636"/>
      <c r="DU75" s="636"/>
      <c r="DV75" s="636"/>
      <c r="DW75" s="636"/>
      <c r="DX75" s="636"/>
      <c r="DY75" s="636"/>
      <c r="DZ75" s="636"/>
      <c r="EA75" s="636"/>
      <c r="EB75" s="636"/>
      <c r="EC75" s="636"/>
      <c r="ED75" s="636"/>
      <c r="EE75" s="636"/>
      <c r="EF75" s="636"/>
      <c r="EG75" s="636"/>
      <c r="EH75" s="636"/>
      <c r="EI75" s="636"/>
      <c r="EJ75" s="636"/>
      <c r="EK75" s="636"/>
      <c r="EL75" s="636"/>
      <c r="EM75" s="636"/>
      <c r="EN75" s="636"/>
      <c r="EO75" s="636"/>
      <c r="EP75" s="636"/>
      <c r="EQ75" s="636"/>
      <c r="ER75" s="636"/>
      <c r="ES75" s="636"/>
      <c r="ET75" s="636"/>
      <c r="EU75" s="636"/>
      <c r="EV75" s="636"/>
      <c r="EW75" s="636"/>
      <c r="EX75" s="636"/>
      <c r="EY75" s="636"/>
      <c r="EZ75" s="636"/>
      <c r="FA75" s="636"/>
      <c r="FB75" s="636"/>
      <c r="FC75" s="636"/>
      <c r="FD75" s="636"/>
      <c r="FE75" s="636"/>
      <c r="FF75" s="636"/>
      <c r="FG75" s="636"/>
      <c r="FH75" s="636"/>
      <c r="FI75" s="636"/>
      <c r="FJ75" s="636"/>
      <c r="FK75" s="636"/>
      <c r="FL75" s="636"/>
      <c r="FM75" s="636"/>
      <c r="FN75" s="636"/>
      <c r="FO75" s="636"/>
      <c r="FP75" s="636"/>
      <c r="FQ75" s="636"/>
      <c r="FR75" s="636"/>
      <c r="FS75" s="636"/>
      <c r="FT75" s="636"/>
      <c r="FU75" s="636"/>
      <c r="FV75" s="636"/>
      <c r="FW75" s="636"/>
      <c r="FX75" s="636"/>
      <c r="FY75" s="636"/>
      <c r="FZ75" s="636"/>
      <c r="GA75" s="636"/>
      <c r="GB75" s="636"/>
      <c r="GC75" s="636"/>
      <c r="GD75" s="636"/>
      <c r="GE75" s="636"/>
      <c r="GF75" s="636"/>
      <c r="GG75" s="636"/>
      <c r="GH75" s="636"/>
      <c r="GI75" s="636"/>
      <c r="GJ75" s="636"/>
      <c r="GK75" s="636"/>
      <c r="GL75" s="636"/>
      <c r="GM75" s="636"/>
      <c r="GN75" s="636"/>
      <c r="GO75" s="636"/>
      <c r="GP75" s="636"/>
      <c r="GQ75" s="636"/>
      <c r="GR75" s="636"/>
      <c r="GS75" s="636"/>
      <c r="GT75" s="636"/>
      <c r="GU75" s="636"/>
      <c r="GV75" s="636"/>
      <c r="GW75" s="636"/>
      <c r="GX75" s="636"/>
      <c r="GY75" s="636"/>
      <c r="GZ75" s="636"/>
      <c r="HA75" s="636"/>
      <c r="HB75" s="636"/>
      <c r="HC75" s="636"/>
      <c r="HD75" s="636"/>
      <c r="HE75" s="636"/>
      <c r="HF75" s="636"/>
      <c r="HG75" s="636"/>
      <c r="HH75" s="636"/>
      <c r="HI75" s="636"/>
      <c r="HJ75" s="636"/>
      <c r="HK75" s="636"/>
      <c r="HL75" s="636"/>
      <c r="HM75" s="636"/>
      <c r="HN75" s="636"/>
      <c r="HO75" s="636"/>
      <c r="HP75" s="636"/>
      <c r="HQ75" s="636"/>
      <c r="HR75" s="636"/>
      <c r="HS75" s="636"/>
      <c r="HT75" s="636"/>
      <c r="HU75" s="636"/>
      <c r="HV75" s="636"/>
      <c r="HW75" s="636"/>
      <c r="HX75" s="636"/>
      <c r="HY75" s="636"/>
      <c r="HZ75" s="636"/>
      <c r="IA75" s="636"/>
      <c r="IB75" s="636"/>
      <c r="IC75" s="636"/>
      <c r="ID75" s="636"/>
      <c r="IE75" s="636"/>
      <c r="IF75" s="636"/>
      <c r="IG75" s="636"/>
      <c r="IH75" s="636"/>
      <c r="II75" s="636"/>
      <c r="IJ75" s="636"/>
      <c r="IK75" s="636"/>
      <c r="IL75" s="636"/>
      <c r="IM75" s="636"/>
      <c r="IN75" s="636"/>
      <c r="IO75" s="636"/>
      <c r="IP75" s="636"/>
      <c r="IQ75" s="636"/>
      <c r="IR75" s="636"/>
      <c r="IS75" s="636"/>
    </row>
    <row r="76" spans="1:253" ht="38.25">
      <c r="A76" s="647"/>
      <c r="B76" s="648" t="s">
        <v>1745</v>
      </c>
      <c r="C76" s="639" t="s">
        <v>1661</v>
      </c>
      <c r="D76" s="640">
        <v>18000</v>
      </c>
      <c r="E76" s="641">
        <v>0.4</v>
      </c>
      <c r="F76" s="642">
        <f t="shared" si="14"/>
        <v>7200</v>
      </c>
      <c r="G76" s="642">
        <f t="shared" si="15"/>
        <v>10800</v>
      </c>
      <c r="H76" s="643">
        <f t="shared" si="6"/>
        <v>0</v>
      </c>
      <c r="I76" s="642">
        <f t="shared" si="7"/>
        <v>10800</v>
      </c>
      <c r="J76" s="643">
        <v>0.1</v>
      </c>
      <c r="K76" s="658">
        <v>0.7</v>
      </c>
      <c r="L76" s="645">
        <f t="shared" si="8"/>
        <v>1080</v>
      </c>
      <c r="M76" s="642">
        <f t="shared" si="9"/>
        <v>7559.9999999999991</v>
      </c>
      <c r="N76" s="642">
        <f t="shared" si="10"/>
        <v>2160.0000000000009</v>
      </c>
      <c r="O76" s="639"/>
    </row>
    <row r="77" spans="1:253">
      <c r="A77" s="647"/>
      <c r="B77" s="648" t="s">
        <v>1746</v>
      </c>
      <c r="C77" s="639" t="s">
        <v>1661</v>
      </c>
      <c r="D77" s="640">
        <v>7000</v>
      </c>
      <c r="E77" s="641">
        <v>0.4</v>
      </c>
      <c r="F77" s="642">
        <f t="shared" si="14"/>
        <v>2800</v>
      </c>
      <c r="G77" s="642">
        <f t="shared" si="15"/>
        <v>4200</v>
      </c>
      <c r="H77" s="643">
        <f t="shared" si="6"/>
        <v>0</v>
      </c>
      <c r="I77" s="642">
        <f t="shared" si="7"/>
        <v>4200</v>
      </c>
      <c r="J77" s="643">
        <v>0.1</v>
      </c>
      <c r="K77" s="658">
        <v>0.7</v>
      </c>
      <c r="L77" s="645">
        <f t="shared" si="8"/>
        <v>420</v>
      </c>
      <c r="M77" s="642">
        <f t="shared" si="9"/>
        <v>2940</v>
      </c>
      <c r="N77" s="642">
        <f t="shared" si="10"/>
        <v>840</v>
      </c>
      <c r="O77" s="639"/>
    </row>
    <row r="78" spans="1:253">
      <c r="A78" s="647"/>
      <c r="B78" s="648" t="s">
        <v>1747</v>
      </c>
      <c r="C78" s="639" t="s">
        <v>1661</v>
      </c>
      <c r="D78" s="640">
        <v>4000</v>
      </c>
      <c r="E78" s="641">
        <v>0.4</v>
      </c>
      <c r="F78" s="642">
        <f t="shared" si="14"/>
        <v>1600</v>
      </c>
      <c r="G78" s="642">
        <f t="shared" si="15"/>
        <v>2400</v>
      </c>
      <c r="H78" s="643">
        <f t="shared" si="6"/>
        <v>0</v>
      </c>
      <c r="I78" s="642">
        <f t="shared" si="7"/>
        <v>2400</v>
      </c>
      <c r="J78" s="643">
        <v>0.1</v>
      </c>
      <c r="K78" s="658">
        <v>0.7</v>
      </c>
      <c r="L78" s="645">
        <f t="shared" si="8"/>
        <v>240</v>
      </c>
      <c r="M78" s="642">
        <f t="shared" si="9"/>
        <v>1680</v>
      </c>
      <c r="N78" s="642">
        <f t="shared" si="10"/>
        <v>480</v>
      </c>
      <c r="O78" s="639"/>
    </row>
    <row r="79" spans="1:253">
      <c r="A79" s="647"/>
      <c r="B79" s="648" t="s">
        <v>1748</v>
      </c>
      <c r="C79" s="639" t="s">
        <v>1661</v>
      </c>
      <c r="D79" s="640">
        <v>7000</v>
      </c>
      <c r="E79" s="641">
        <v>0.4</v>
      </c>
      <c r="F79" s="642">
        <f t="shared" si="14"/>
        <v>2800</v>
      </c>
      <c r="G79" s="642">
        <f t="shared" si="15"/>
        <v>4200</v>
      </c>
      <c r="H79" s="643">
        <f t="shared" si="6"/>
        <v>0</v>
      </c>
      <c r="I79" s="642">
        <f t="shared" si="7"/>
        <v>4200</v>
      </c>
      <c r="J79" s="643">
        <v>0.1</v>
      </c>
      <c r="K79" s="658">
        <v>0.7</v>
      </c>
      <c r="L79" s="645">
        <f t="shared" si="8"/>
        <v>420</v>
      </c>
      <c r="M79" s="642">
        <f t="shared" si="9"/>
        <v>2940</v>
      </c>
      <c r="N79" s="642">
        <f t="shared" si="10"/>
        <v>840</v>
      </c>
      <c r="O79" s="639"/>
    </row>
    <row r="80" spans="1:253" ht="13.5">
      <c r="A80" s="649"/>
      <c r="B80" s="650" t="s">
        <v>1749</v>
      </c>
      <c r="C80" s="639" t="s">
        <v>1661</v>
      </c>
      <c r="D80" s="651">
        <v>14973</v>
      </c>
      <c r="E80" s="652">
        <v>0</v>
      </c>
      <c r="F80" s="653">
        <f t="shared" si="14"/>
        <v>0</v>
      </c>
      <c r="G80" s="653">
        <f t="shared" si="15"/>
        <v>14973</v>
      </c>
      <c r="H80" s="643">
        <f t="shared" si="6"/>
        <v>0</v>
      </c>
      <c r="I80" s="653">
        <f t="shared" si="7"/>
        <v>14973</v>
      </c>
      <c r="J80" s="654">
        <v>0.1</v>
      </c>
      <c r="K80" s="655">
        <v>0.8</v>
      </c>
      <c r="L80" s="645">
        <f t="shared" si="8"/>
        <v>1497.3000000000002</v>
      </c>
      <c r="M80" s="642">
        <f t="shared" si="9"/>
        <v>11978.400000000001</v>
      </c>
      <c r="N80" s="642">
        <f t="shared" si="10"/>
        <v>1497.2999999999993</v>
      </c>
      <c r="O80" s="656" t="s">
        <v>1738</v>
      </c>
      <c r="P80" s="657"/>
      <c r="Q80" s="657"/>
      <c r="R80" s="657"/>
      <c r="S80" s="657"/>
      <c r="T80" s="657"/>
      <c r="U80" s="657"/>
      <c r="V80" s="657"/>
      <c r="W80" s="657"/>
      <c r="X80" s="657"/>
      <c r="Y80" s="657"/>
      <c r="Z80" s="657"/>
      <c r="AA80" s="657"/>
      <c r="AB80" s="657"/>
      <c r="AC80" s="657"/>
      <c r="AD80" s="657"/>
      <c r="AE80" s="657"/>
      <c r="AF80" s="657"/>
      <c r="AG80" s="657"/>
      <c r="AH80" s="657"/>
      <c r="AI80" s="657"/>
      <c r="AJ80" s="657"/>
      <c r="AK80" s="657"/>
      <c r="AL80" s="657"/>
      <c r="AM80" s="657"/>
      <c r="AN80" s="657"/>
      <c r="AO80" s="657"/>
      <c r="AP80" s="657"/>
      <c r="AQ80" s="657"/>
      <c r="AR80" s="657"/>
      <c r="AS80" s="657"/>
      <c r="AT80" s="657"/>
      <c r="AU80" s="657"/>
      <c r="AV80" s="657"/>
      <c r="AW80" s="657"/>
      <c r="AX80" s="657"/>
      <c r="AY80" s="657"/>
      <c r="AZ80" s="657"/>
      <c r="BA80" s="657"/>
      <c r="BB80" s="657"/>
      <c r="BC80" s="657"/>
      <c r="BD80" s="657"/>
      <c r="BE80" s="657"/>
      <c r="BF80" s="657"/>
      <c r="BG80" s="657"/>
      <c r="BH80" s="657"/>
      <c r="BI80" s="657"/>
      <c r="BJ80" s="657"/>
      <c r="BK80" s="657"/>
      <c r="BL80" s="657"/>
      <c r="BM80" s="657"/>
      <c r="BN80" s="657"/>
      <c r="BO80" s="657"/>
      <c r="BP80" s="657"/>
      <c r="BQ80" s="657"/>
      <c r="BR80" s="657"/>
      <c r="BS80" s="657"/>
      <c r="BT80" s="657"/>
      <c r="BU80" s="657"/>
      <c r="BV80" s="657"/>
      <c r="BW80" s="657"/>
      <c r="BX80" s="657"/>
      <c r="BY80" s="657"/>
      <c r="BZ80" s="657"/>
      <c r="CA80" s="657"/>
      <c r="CB80" s="657"/>
      <c r="CC80" s="657"/>
      <c r="CD80" s="657"/>
      <c r="CE80" s="657"/>
      <c r="CF80" s="657"/>
      <c r="CG80" s="657"/>
      <c r="CH80" s="657"/>
      <c r="CI80" s="657"/>
      <c r="CJ80" s="657"/>
      <c r="CK80" s="657"/>
      <c r="CL80" s="657"/>
      <c r="CM80" s="657"/>
      <c r="CN80" s="657"/>
      <c r="CO80" s="657"/>
      <c r="CP80" s="657"/>
      <c r="CQ80" s="657"/>
      <c r="CR80" s="657"/>
      <c r="CS80" s="657"/>
      <c r="CT80" s="657"/>
      <c r="CU80" s="657"/>
      <c r="CV80" s="657"/>
      <c r="CW80" s="657"/>
      <c r="CX80" s="657"/>
      <c r="CY80" s="657"/>
      <c r="CZ80" s="657"/>
      <c r="DA80" s="657"/>
      <c r="DB80" s="657"/>
      <c r="DC80" s="657"/>
      <c r="DD80" s="657"/>
      <c r="DE80" s="657"/>
      <c r="DF80" s="657"/>
      <c r="DG80" s="657"/>
      <c r="DH80" s="657"/>
      <c r="DI80" s="657"/>
      <c r="DJ80" s="657"/>
      <c r="DK80" s="657"/>
      <c r="DL80" s="657"/>
      <c r="DM80" s="657"/>
      <c r="DN80" s="657"/>
      <c r="DO80" s="657"/>
      <c r="DP80" s="657"/>
      <c r="DQ80" s="657"/>
      <c r="DR80" s="657"/>
      <c r="DS80" s="657"/>
      <c r="DT80" s="657"/>
      <c r="DU80" s="657"/>
      <c r="DV80" s="657"/>
      <c r="DW80" s="657"/>
      <c r="DX80" s="657"/>
      <c r="DY80" s="657"/>
      <c r="DZ80" s="657"/>
      <c r="EA80" s="657"/>
      <c r="EB80" s="657"/>
      <c r="EC80" s="657"/>
      <c r="ED80" s="657"/>
      <c r="EE80" s="657"/>
      <c r="EF80" s="657"/>
      <c r="EG80" s="657"/>
      <c r="EH80" s="657"/>
      <c r="EI80" s="657"/>
      <c r="EJ80" s="657"/>
      <c r="EK80" s="657"/>
      <c r="EL80" s="657"/>
      <c r="EM80" s="657"/>
      <c r="EN80" s="657"/>
      <c r="EO80" s="657"/>
      <c r="EP80" s="657"/>
      <c r="EQ80" s="657"/>
      <c r="ER80" s="657"/>
      <c r="ES80" s="657"/>
      <c r="ET80" s="657"/>
      <c r="EU80" s="657"/>
      <c r="EV80" s="657"/>
      <c r="EW80" s="657"/>
      <c r="EX80" s="657"/>
      <c r="EY80" s="657"/>
      <c r="EZ80" s="657"/>
      <c r="FA80" s="657"/>
      <c r="FB80" s="657"/>
      <c r="FC80" s="657"/>
      <c r="FD80" s="657"/>
      <c r="FE80" s="657"/>
      <c r="FF80" s="657"/>
      <c r="FG80" s="657"/>
      <c r="FH80" s="657"/>
      <c r="FI80" s="657"/>
      <c r="FJ80" s="657"/>
      <c r="FK80" s="657"/>
      <c r="FL80" s="657"/>
      <c r="FM80" s="657"/>
      <c r="FN80" s="657"/>
      <c r="FO80" s="657"/>
      <c r="FP80" s="657"/>
      <c r="FQ80" s="657"/>
      <c r="FR80" s="657"/>
      <c r="FS80" s="657"/>
      <c r="FT80" s="657"/>
      <c r="FU80" s="657"/>
      <c r="FV80" s="657"/>
      <c r="FW80" s="657"/>
      <c r="FX80" s="657"/>
      <c r="FY80" s="657"/>
      <c r="FZ80" s="657"/>
      <c r="GA80" s="657"/>
      <c r="GB80" s="657"/>
      <c r="GC80" s="657"/>
      <c r="GD80" s="657"/>
      <c r="GE80" s="657"/>
      <c r="GF80" s="657"/>
      <c r="GG80" s="657"/>
      <c r="GH80" s="657"/>
      <c r="GI80" s="657"/>
      <c r="GJ80" s="657"/>
      <c r="GK80" s="657"/>
      <c r="GL80" s="657"/>
      <c r="GM80" s="657"/>
      <c r="GN80" s="657"/>
      <c r="GO80" s="657"/>
      <c r="GP80" s="657"/>
      <c r="GQ80" s="657"/>
      <c r="GR80" s="657"/>
      <c r="GS80" s="657"/>
      <c r="GT80" s="657"/>
      <c r="GU80" s="657"/>
      <c r="GV80" s="657"/>
      <c r="GW80" s="657"/>
      <c r="GX80" s="657"/>
      <c r="GY80" s="657"/>
      <c r="GZ80" s="657"/>
      <c r="HA80" s="657"/>
      <c r="HB80" s="657"/>
      <c r="HC80" s="657"/>
      <c r="HD80" s="657"/>
      <c r="HE80" s="657"/>
      <c r="HF80" s="657"/>
      <c r="HG80" s="657"/>
      <c r="HH80" s="657"/>
      <c r="HI80" s="657"/>
      <c r="HJ80" s="657"/>
      <c r="HK80" s="657"/>
      <c r="HL80" s="657"/>
      <c r="HM80" s="657"/>
      <c r="HN80" s="657"/>
      <c r="HO80" s="657"/>
      <c r="HP80" s="657"/>
      <c r="HQ80" s="657"/>
      <c r="HR80" s="657"/>
      <c r="HS80" s="657"/>
      <c r="HT80" s="657"/>
      <c r="HU80" s="657"/>
      <c r="HV80" s="657"/>
      <c r="HW80" s="657"/>
      <c r="HX80" s="657"/>
      <c r="HY80" s="657"/>
      <c r="HZ80" s="657"/>
      <c r="IA80" s="657"/>
      <c r="IB80" s="657"/>
      <c r="IC80" s="657"/>
      <c r="ID80" s="657"/>
      <c r="IE80" s="657"/>
      <c r="IF80" s="657"/>
      <c r="IG80" s="657"/>
      <c r="IH80" s="657"/>
      <c r="II80" s="657"/>
      <c r="IJ80" s="657"/>
      <c r="IK80" s="657"/>
      <c r="IL80" s="657"/>
      <c r="IM80" s="657"/>
      <c r="IN80" s="657"/>
      <c r="IO80" s="657"/>
      <c r="IP80" s="657"/>
      <c r="IQ80" s="657"/>
      <c r="IR80" s="657"/>
      <c r="IS80" s="657"/>
    </row>
    <row r="81" spans="1:253">
      <c r="A81" s="623" t="s">
        <v>556</v>
      </c>
      <c r="B81" s="624" t="s">
        <v>1750</v>
      </c>
      <c r="C81" s="634"/>
      <c r="D81" s="635"/>
      <c r="E81" s="627"/>
      <c r="F81" s="635"/>
      <c r="G81" s="635"/>
      <c r="H81" s="629"/>
      <c r="I81" s="635"/>
      <c r="J81" s="631"/>
      <c r="K81" s="631"/>
      <c r="L81" s="635"/>
      <c r="M81" s="635"/>
      <c r="N81" s="635"/>
      <c r="O81" s="626"/>
    </row>
    <row r="82" spans="1:253" ht="25.5">
      <c r="A82" s="647"/>
      <c r="B82" s="648" t="s">
        <v>1751</v>
      </c>
      <c r="C82" s="639" t="s">
        <v>1657</v>
      </c>
      <c r="D82" s="640">
        <v>9500</v>
      </c>
      <c r="E82" s="641">
        <v>0.39</v>
      </c>
      <c r="F82" s="642">
        <f t="shared" ref="F82:F90" si="16">D82*E82</f>
        <v>3705</v>
      </c>
      <c r="G82" s="642">
        <f t="shared" ref="G82:G90" si="17">D82-F82</f>
        <v>5795</v>
      </c>
      <c r="H82" s="643">
        <f t="shared" ref="H82:H127" si="18">H81</f>
        <v>0</v>
      </c>
      <c r="I82" s="642">
        <f t="shared" ref="I82:I90" si="19">G82-G82*H82</f>
        <v>5795</v>
      </c>
      <c r="J82" s="643">
        <v>0.1</v>
      </c>
      <c r="K82" s="644">
        <v>0.8</v>
      </c>
      <c r="L82" s="645">
        <f t="shared" si="8"/>
        <v>579.5</v>
      </c>
      <c r="M82" s="642">
        <f t="shared" si="9"/>
        <v>4636</v>
      </c>
      <c r="N82" s="642">
        <f t="shared" si="10"/>
        <v>579.5</v>
      </c>
      <c r="O82" s="639"/>
    </row>
    <row r="83" spans="1:253">
      <c r="A83" s="647"/>
      <c r="B83" s="648" t="s">
        <v>1752</v>
      </c>
      <c r="C83" s="639" t="s">
        <v>1657</v>
      </c>
      <c r="D83" s="640">
        <v>25000</v>
      </c>
      <c r="E83" s="641">
        <v>0.39</v>
      </c>
      <c r="F83" s="642">
        <f t="shared" si="16"/>
        <v>9750</v>
      </c>
      <c r="G83" s="642">
        <f t="shared" si="17"/>
        <v>15250</v>
      </c>
      <c r="H83" s="643">
        <f t="shared" si="18"/>
        <v>0</v>
      </c>
      <c r="I83" s="642">
        <f t="shared" si="19"/>
        <v>15250</v>
      </c>
      <c r="J83" s="643">
        <v>0.1</v>
      </c>
      <c r="K83" s="644">
        <v>0.8</v>
      </c>
      <c r="L83" s="645">
        <f t="shared" ref="L83:L127" si="20">I83*J83</f>
        <v>1525</v>
      </c>
      <c r="M83" s="642">
        <f t="shared" ref="M83:M127" si="21">I83*K83</f>
        <v>12200</v>
      </c>
      <c r="N83" s="642">
        <f t="shared" ref="N83:N127" si="22">I83-L83-M83</f>
        <v>1525</v>
      </c>
      <c r="O83" s="639"/>
      <c r="P83" s="636"/>
      <c r="Q83" s="636"/>
      <c r="R83" s="636"/>
      <c r="S83" s="636"/>
      <c r="T83" s="636"/>
      <c r="U83" s="636"/>
      <c r="V83" s="636"/>
      <c r="W83" s="636"/>
      <c r="X83" s="636"/>
      <c r="Y83" s="636"/>
      <c r="Z83" s="636"/>
      <c r="AA83" s="636"/>
      <c r="AB83" s="636"/>
      <c r="AC83" s="636"/>
      <c r="AD83" s="636"/>
      <c r="AE83" s="636"/>
      <c r="AF83" s="636"/>
      <c r="AG83" s="636"/>
      <c r="AH83" s="636"/>
      <c r="AI83" s="636"/>
      <c r="AJ83" s="636"/>
      <c r="AK83" s="636"/>
      <c r="AL83" s="636"/>
      <c r="AM83" s="636"/>
      <c r="AN83" s="636"/>
      <c r="AO83" s="636"/>
      <c r="AP83" s="636"/>
      <c r="AQ83" s="636"/>
      <c r="AR83" s="636"/>
      <c r="AS83" s="636"/>
      <c r="AT83" s="636"/>
      <c r="AU83" s="636"/>
      <c r="AV83" s="636"/>
      <c r="AW83" s="636"/>
      <c r="AX83" s="636"/>
      <c r="AY83" s="636"/>
      <c r="AZ83" s="636"/>
      <c r="BA83" s="636"/>
      <c r="BB83" s="636"/>
      <c r="BC83" s="636"/>
      <c r="BD83" s="636"/>
      <c r="BE83" s="636"/>
      <c r="BF83" s="636"/>
      <c r="BG83" s="636"/>
      <c r="BH83" s="636"/>
      <c r="BI83" s="636"/>
      <c r="BJ83" s="636"/>
      <c r="BK83" s="636"/>
      <c r="BL83" s="636"/>
      <c r="BM83" s="636"/>
      <c r="BN83" s="636"/>
      <c r="BO83" s="636"/>
      <c r="BP83" s="636"/>
      <c r="BQ83" s="636"/>
      <c r="BR83" s="636"/>
      <c r="BS83" s="636"/>
      <c r="BT83" s="636"/>
      <c r="BU83" s="636"/>
      <c r="BV83" s="636"/>
      <c r="BW83" s="636"/>
      <c r="BX83" s="636"/>
      <c r="BY83" s="636"/>
      <c r="BZ83" s="636"/>
      <c r="CA83" s="636"/>
      <c r="CB83" s="636"/>
      <c r="CC83" s="636"/>
      <c r="CD83" s="636"/>
      <c r="CE83" s="636"/>
      <c r="CF83" s="636"/>
      <c r="CG83" s="636"/>
      <c r="CH83" s="636"/>
      <c r="CI83" s="636"/>
      <c r="CJ83" s="636"/>
      <c r="CK83" s="636"/>
      <c r="CL83" s="636"/>
      <c r="CM83" s="636"/>
      <c r="CN83" s="636"/>
      <c r="CO83" s="636"/>
      <c r="CP83" s="636"/>
      <c r="CQ83" s="636"/>
      <c r="CR83" s="636"/>
      <c r="CS83" s="636"/>
      <c r="CT83" s="636"/>
      <c r="CU83" s="636"/>
      <c r="CV83" s="636"/>
      <c r="CW83" s="636"/>
      <c r="CX83" s="636"/>
      <c r="CY83" s="636"/>
      <c r="CZ83" s="636"/>
      <c r="DA83" s="636"/>
      <c r="DB83" s="636"/>
      <c r="DC83" s="636"/>
      <c r="DD83" s="636"/>
      <c r="DE83" s="636"/>
      <c r="DF83" s="636"/>
      <c r="DG83" s="636"/>
      <c r="DH83" s="636"/>
      <c r="DI83" s="636"/>
      <c r="DJ83" s="636"/>
      <c r="DK83" s="636"/>
      <c r="DL83" s="636"/>
      <c r="DM83" s="636"/>
      <c r="DN83" s="636"/>
      <c r="DO83" s="636"/>
      <c r="DP83" s="636"/>
      <c r="DQ83" s="636"/>
      <c r="DR83" s="636"/>
      <c r="DS83" s="636"/>
      <c r="DT83" s="636"/>
      <c r="DU83" s="636"/>
      <c r="DV83" s="636"/>
      <c r="DW83" s="636"/>
      <c r="DX83" s="636"/>
      <c r="DY83" s="636"/>
      <c r="DZ83" s="636"/>
      <c r="EA83" s="636"/>
      <c r="EB83" s="636"/>
      <c r="EC83" s="636"/>
      <c r="ED83" s="636"/>
      <c r="EE83" s="636"/>
      <c r="EF83" s="636"/>
      <c r="EG83" s="636"/>
      <c r="EH83" s="636"/>
      <c r="EI83" s="636"/>
      <c r="EJ83" s="636"/>
      <c r="EK83" s="636"/>
      <c r="EL83" s="636"/>
      <c r="EM83" s="636"/>
      <c r="EN83" s="636"/>
      <c r="EO83" s="636"/>
      <c r="EP83" s="636"/>
      <c r="EQ83" s="636"/>
      <c r="ER83" s="636"/>
      <c r="ES83" s="636"/>
      <c r="ET83" s="636"/>
      <c r="EU83" s="636"/>
      <c r="EV83" s="636"/>
      <c r="EW83" s="636"/>
      <c r="EX83" s="636"/>
      <c r="EY83" s="636"/>
      <c r="EZ83" s="636"/>
      <c r="FA83" s="636"/>
      <c r="FB83" s="636"/>
      <c r="FC83" s="636"/>
      <c r="FD83" s="636"/>
      <c r="FE83" s="636"/>
      <c r="FF83" s="636"/>
      <c r="FG83" s="636"/>
      <c r="FH83" s="636"/>
      <c r="FI83" s="636"/>
      <c r="FJ83" s="636"/>
      <c r="FK83" s="636"/>
      <c r="FL83" s="636"/>
      <c r="FM83" s="636"/>
      <c r="FN83" s="636"/>
      <c r="FO83" s="636"/>
      <c r="FP83" s="636"/>
      <c r="FQ83" s="636"/>
      <c r="FR83" s="636"/>
      <c r="FS83" s="636"/>
      <c r="FT83" s="636"/>
      <c r="FU83" s="636"/>
      <c r="FV83" s="636"/>
      <c r="FW83" s="636"/>
      <c r="FX83" s="636"/>
      <c r="FY83" s="636"/>
      <c r="FZ83" s="636"/>
      <c r="GA83" s="636"/>
      <c r="GB83" s="636"/>
      <c r="GC83" s="636"/>
      <c r="GD83" s="636"/>
      <c r="GE83" s="636"/>
      <c r="GF83" s="636"/>
      <c r="GG83" s="636"/>
      <c r="GH83" s="636"/>
      <c r="GI83" s="636"/>
      <c r="GJ83" s="636"/>
      <c r="GK83" s="636"/>
      <c r="GL83" s="636"/>
      <c r="GM83" s="636"/>
      <c r="GN83" s="636"/>
      <c r="GO83" s="636"/>
      <c r="GP83" s="636"/>
      <c r="GQ83" s="636"/>
      <c r="GR83" s="636"/>
      <c r="GS83" s="636"/>
      <c r="GT83" s="636"/>
      <c r="GU83" s="636"/>
      <c r="GV83" s="636"/>
      <c r="GW83" s="636"/>
      <c r="GX83" s="636"/>
      <c r="GY83" s="636"/>
      <c r="GZ83" s="636"/>
      <c r="HA83" s="636"/>
      <c r="HB83" s="636"/>
      <c r="HC83" s="636"/>
      <c r="HD83" s="636"/>
      <c r="HE83" s="636"/>
      <c r="HF83" s="636"/>
      <c r="HG83" s="636"/>
      <c r="HH83" s="636"/>
      <c r="HI83" s="636"/>
      <c r="HJ83" s="636"/>
      <c r="HK83" s="636"/>
      <c r="HL83" s="636"/>
      <c r="HM83" s="636"/>
      <c r="HN83" s="636"/>
      <c r="HO83" s="636"/>
      <c r="HP83" s="636"/>
      <c r="HQ83" s="636"/>
      <c r="HR83" s="636"/>
      <c r="HS83" s="636"/>
      <c r="HT83" s="636"/>
      <c r="HU83" s="636"/>
      <c r="HV83" s="636"/>
      <c r="HW83" s="636"/>
      <c r="HX83" s="636"/>
      <c r="HY83" s="636"/>
      <c r="HZ83" s="636"/>
      <c r="IA83" s="636"/>
      <c r="IB83" s="636"/>
      <c r="IC83" s="636"/>
      <c r="ID83" s="636"/>
      <c r="IE83" s="636"/>
      <c r="IF83" s="636"/>
      <c r="IG83" s="636"/>
      <c r="IH83" s="636"/>
      <c r="II83" s="636"/>
      <c r="IJ83" s="636"/>
      <c r="IK83" s="636"/>
      <c r="IL83" s="636"/>
      <c r="IM83" s="636"/>
      <c r="IN83" s="636"/>
      <c r="IO83" s="636"/>
      <c r="IP83" s="636"/>
      <c r="IQ83" s="636"/>
      <c r="IR83" s="636"/>
      <c r="IS83" s="636"/>
    </row>
    <row r="84" spans="1:253">
      <c r="A84" s="647"/>
      <c r="B84" s="648" t="s">
        <v>1753</v>
      </c>
      <c r="C84" s="639" t="s">
        <v>1657</v>
      </c>
      <c r="D84" s="640">
        <v>600</v>
      </c>
      <c r="E84" s="641">
        <v>0.39</v>
      </c>
      <c r="F84" s="642">
        <f t="shared" si="16"/>
        <v>234</v>
      </c>
      <c r="G84" s="642">
        <f t="shared" si="17"/>
        <v>366</v>
      </c>
      <c r="H84" s="643">
        <f t="shared" si="18"/>
        <v>0</v>
      </c>
      <c r="I84" s="642">
        <f t="shared" si="19"/>
        <v>366</v>
      </c>
      <c r="J84" s="643">
        <v>0.1</v>
      </c>
      <c r="K84" s="644">
        <v>0.7</v>
      </c>
      <c r="L84" s="645">
        <f t="shared" si="20"/>
        <v>36.6</v>
      </c>
      <c r="M84" s="642">
        <f t="shared" si="21"/>
        <v>256.2</v>
      </c>
      <c r="N84" s="642">
        <f t="shared" si="22"/>
        <v>73.199999999999989</v>
      </c>
      <c r="O84" s="639" t="s">
        <v>1706</v>
      </c>
    </row>
    <row r="85" spans="1:253">
      <c r="A85" s="647"/>
      <c r="B85" s="648" t="s">
        <v>1754</v>
      </c>
      <c r="C85" s="639" t="s">
        <v>1657</v>
      </c>
      <c r="D85" s="640">
        <v>6000</v>
      </c>
      <c r="E85" s="641">
        <v>0.39</v>
      </c>
      <c r="F85" s="642">
        <f t="shared" si="16"/>
        <v>2340</v>
      </c>
      <c r="G85" s="642">
        <f t="shared" si="17"/>
        <v>3660</v>
      </c>
      <c r="H85" s="643">
        <f t="shared" si="18"/>
        <v>0</v>
      </c>
      <c r="I85" s="642">
        <f t="shared" si="19"/>
        <v>3660</v>
      </c>
      <c r="J85" s="643">
        <v>0.1</v>
      </c>
      <c r="K85" s="644">
        <v>0.8</v>
      </c>
      <c r="L85" s="645">
        <f t="shared" si="20"/>
        <v>366</v>
      </c>
      <c r="M85" s="642">
        <f t="shared" si="21"/>
        <v>2928</v>
      </c>
      <c r="N85" s="642">
        <f t="shared" si="22"/>
        <v>366</v>
      </c>
      <c r="O85" s="639">
        <v>2018</v>
      </c>
    </row>
    <row r="86" spans="1:253">
      <c r="A86" s="647"/>
      <c r="B86" s="648" t="s">
        <v>1755</v>
      </c>
      <c r="C86" s="639" t="s">
        <v>1657</v>
      </c>
      <c r="D86" s="640">
        <v>45000</v>
      </c>
      <c r="E86" s="641">
        <v>0.39</v>
      </c>
      <c r="F86" s="642">
        <f t="shared" si="16"/>
        <v>17550</v>
      </c>
      <c r="G86" s="642">
        <f t="shared" si="17"/>
        <v>27450</v>
      </c>
      <c r="H86" s="643">
        <f t="shared" si="18"/>
        <v>0</v>
      </c>
      <c r="I86" s="642">
        <f t="shared" si="19"/>
        <v>27450</v>
      </c>
      <c r="J86" s="643">
        <v>0.1</v>
      </c>
      <c r="K86" s="644">
        <v>0.7</v>
      </c>
      <c r="L86" s="645">
        <f t="shared" si="20"/>
        <v>2745</v>
      </c>
      <c r="M86" s="642">
        <f t="shared" si="21"/>
        <v>19215</v>
      </c>
      <c r="N86" s="642">
        <f t="shared" si="22"/>
        <v>5490</v>
      </c>
      <c r="O86" s="639" t="s">
        <v>1725</v>
      </c>
    </row>
    <row r="87" spans="1:253">
      <c r="A87" s="647"/>
      <c r="B87" s="648" t="s">
        <v>1756</v>
      </c>
      <c r="C87" s="639" t="s">
        <v>1657</v>
      </c>
      <c r="D87" s="640">
        <v>23000</v>
      </c>
      <c r="E87" s="641">
        <v>0.39</v>
      </c>
      <c r="F87" s="642">
        <f t="shared" si="16"/>
        <v>8970</v>
      </c>
      <c r="G87" s="642">
        <f t="shared" si="17"/>
        <v>14030</v>
      </c>
      <c r="H87" s="643">
        <f t="shared" si="18"/>
        <v>0</v>
      </c>
      <c r="I87" s="642">
        <f t="shared" si="19"/>
        <v>14030</v>
      </c>
      <c r="J87" s="643">
        <v>0.1</v>
      </c>
      <c r="K87" s="644">
        <v>0.6</v>
      </c>
      <c r="L87" s="645">
        <f t="shared" si="20"/>
        <v>1403</v>
      </c>
      <c r="M87" s="642">
        <f t="shared" si="21"/>
        <v>8418</v>
      </c>
      <c r="N87" s="642">
        <f t="shared" si="22"/>
        <v>4209</v>
      </c>
      <c r="O87" s="639"/>
    </row>
    <row r="88" spans="1:253">
      <c r="A88" s="647"/>
      <c r="B88" s="648" t="s">
        <v>1757</v>
      </c>
      <c r="C88" s="639" t="s">
        <v>1657</v>
      </c>
      <c r="D88" s="640">
        <v>7900</v>
      </c>
      <c r="E88" s="641">
        <v>0.39</v>
      </c>
      <c r="F88" s="642">
        <f t="shared" si="16"/>
        <v>3081</v>
      </c>
      <c r="G88" s="642">
        <f t="shared" si="17"/>
        <v>4819</v>
      </c>
      <c r="H88" s="643">
        <f t="shared" si="18"/>
        <v>0</v>
      </c>
      <c r="I88" s="642">
        <f t="shared" si="19"/>
        <v>4819</v>
      </c>
      <c r="J88" s="643">
        <v>0.1</v>
      </c>
      <c r="K88" s="644">
        <v>0.6</v>
      </c>
      <c r="L88" s="645">
        <f t="shared" si="20"/>
        <v>481.90000000000003</v>
      </c>
      <c r="M88" s="642">
        <f t="shared" si="21"/>
        <v>2891.4</v>
      </c>
      <c r="N88" s="642">
        <f t="shared" si="22"/>
        <v>1445.7000000000003</v>
      </c>
      <c r="O88" s="639"/>
    </row>
    <row r="89" spans="1:253">
      <c r="A89" s="647"/>
      <c r="B89" s="648" t="s">
        <v>1758</v>
      </c>
      <c r="C89" s="639" t="s">
        <v>1657</v>
      </c>
      <c r="D89" s="640">
        <v>10000</v>
      </c>
      <c r="E89" s="641">
        <v>0.39</v>
      </c>
      <c r="F89" s="642">
        <f t="shared" si="16"/>
        <v>3900</v>
      </c>
      <c r="G89" s="642">
        <f t="shared" si="17"/>
        <v>6100</v>
      </c>
      <c r="H89" s="643">
        <f t="shared" si="18"/>
        <v>0</v>
      </c>
      <c r="I89" s="642">
        <f t="shared" si="19"/>
        <v>6100</v>
      </c>
      <c r="J89" s="643">
        <v>0.1</v>
      </c>
      <c r="K89" s="644">
        <v>0.6</v>
      </c>
      <c r="L89" s="645">
        <f t="shared" si="20"/>
        <v>610</v>
      </c>
      <c r="M89" s="642">
        <f t="shared" si="21"/>
        <v>3660</v>
      </c>
      <c r="N89" s="642">
        <f t="shared" si="22"/>
        <v>1830</v>
      </c>
      <c r="O89" s="639"/>
    </row>
    <row r="90" spans="1:253" ht="13.5">
      <c r="A90" s="649"/>
      <c r="B90" s="650" t="s">
        <v>1749</v>
      </c>
      <c r="C90" s="639" t="s">
        <v>1657</v>
      </c>
      <c r="D90" s="651">
        <v>3000</v>
      </c>
      <c r="E90" s="652">
        <v>0</v>
      </c>
      <c r="F90" s="653">
        <f t="shared" si="16"/>
        <v>0</v>
      </c>
      <c r="G90" s="653">
        <f t="shared" si="17"/>
        <v>3000</v>
      </c>
      <c r="H90" s="643">
        <f t="shared" si="18"/>
        <v>0</v>
      </c>
      <c r="I90" s="653">
        <f t="shared" si="19"/>
        <v>3000</v>
      </c>
      <c r="J90" s="654">
        <v>0.1</v>
      </c>
      <c r="K90" s="655">
        <v>0.7</v>
      </c>
      <c r="L90" s="645">
        <f t="shared" si="20"/>
        <v>300</v>
      </c>
      <c r="M90" s="642">
        <f t="shared" si="21"/>
        <v>2100</v>
      </c>
      <c r="N90" s="642">
        <f t="shared" si="22"/>
        <v>600</v>
      </c>
      <c r="O90" s="656" t="s">
        <v>1759</v>
      </c>
      <c r="P90" s="657"/>
      <c r="Q90" s="657"/>
      <c r="R90" s="657"/>
      <c r="S90" s="657"/>
      <c r="T90" s="657"/>
      <c r="U90" s="657"/>
      <c r="V90" s="657"/>
      <c r="W90" s="657"/>
      <c r="X90" s="657"/>
      <c r="Y90" s="657"/>
      <c r="Z90" s="657"/>
      <c r="AA90" s="657"/>
      <c r="AB90" s="657"/>
      <c r="AC90" s="657"/>
      <c r="AD90" s="657"/>
      <c r="AE90" s="657"/>
      <c r="AF90" s="657"/>
      <c r="AG90" s="657"/>
      <c r="AH90" s="657"/>
      <c r="AI90" s="657"/>
      <c r="AJ90" s="657"/>
      <c r="AK90" s="657"/>
      <c r="AL90" s="657"/>
      <c r="AM90" s="657"/>
      <c r="AN90" s="657"/>
      <c r="AO90" s="657"/>
      <c r="AP90" s="657"/>
      <c r="AQ90" s="657"/>
      <c r="AR90" s="657"/>
      <c r="AS90" s="657"/>
      <c r="AT90" s="657"/>
      <c r="AU90" s="657"/>
      <c r="AV90" s="657"/>
      <c r="AW90" s="657"/>
      <c r="AX90" s="657"/>
      <c r="AY90" s="657"/>
      <c r="AZ90" s="657"/>
      <c r="BA90" s="657"/>
      <c r="BB90" s="657"/>
      <c r="BC90" s="657"/>
      <c r="BD90" s="657"/>
      <c r="BE90" s="657"/>
      <c r="BF90" s="657"/>
      <c r="BG90" s="657"/>
      <c r="BH90" s="657"/>
      <c r="BI90" s="657"/>
      <c r="BJ90" s="657"/>
      <c r="BK90" s="657"/>
      <c r="BL90" s="657"/>
      <c r="BM90" s="657"/>
      <c r="BN90" s="657"/>
      <c r="BO90" s="657"/>
      <c r="BP90" s="657"/>
      <c r="BQ90" s="657"/>
      <c r="BR90" s="657"/>
      <c r="BS90" s="657"/>
      <c r="BT90" s="657"/>
      <c r="BU90" s="657"/>
      <c r="BV90" s="657"/>
      <c r="BW90" s="657"/>
      <c r="BX90" s="657"/>
      <c r="BY90" s="657"/>
      <c r="BZ90" s="657"/>
      <c r="CA90" s="657"/>
      <c r="CB90" s="657"/>
      <c r="CC90" s="657"/>
      <c r="CD90" s="657"/>
      <c r="CE90" s="657"/>
      <c r="CF90" s="657"/>
      <c r="CG90" s="657"/>
      <c r="CH90" s="657"/>
      <c r="CI90" s="657"/>
      <c r="CJ90" s="657"/>
      <c r="CK90" s="657"/>
      <c r="CL90" s="657"/>
      <c r="CM90" s="657"/>
      <c r="CN90" s="657"/>
      <c r="CO90" s="657"/>
      <c r="CP90" s="657"/>
      <c r="CQ90" s="657"/>
      <c r="CR90" s="657"/>
      <c r="CS90" s="657"/>
      <c r="CT90" s="657"/>
      <c r="CU90" s="657"/>
      <c r="CV90" s="657"/>
      <c r="CW90" s="657"/>
      <c r="CX90" s="657"/>
      <c r="CY90" s="657"/>
      <c r="CZ90" s="657"/>
      <c r="DA90" s="657"/>
      <c r="DB90" s="657"/>
      <c r="DC90" s="657"/>
      <c r="DD90" s="657"/>
      <c r="DE90" s="657"/>
      <c r="DF90" s="657"/>
      <c r="DG90" s="657"/>
      <c r="DH90" s="657"/>
      <c r="DI90" s="657"/>
      <c r="DJ90" s="657"/>
      <c r="DK90" s="657"/>
      <c r="DL90" s="657"/>
      <c r="DM90" s="657"/>
      <c r="DN90" s="657"/>
      <c r="DO90" s="657"/>
      <c r="DP90" s="657"/>
      <c r="DQ90" s="657"/>
      <c r="DR90" s="657"/>
      <c r="DS90" s="657"/>
      <c r="DT90" s="657"/>
      <c r="DU90" s="657"/>
      <c r="DV90" s="657"/>
      <c r="DW90" s="657"/>
      <c r="DX90" s="657"/>
      <c r="DY90" s="657"/>
      <c r="DZ90" s="657"/>
      <c r="EA90" s="657"/>
      <c r="EB90" s="657"/>
      <c r="EC90" s="657"/>
      <c r="ED90" s="657"/>
      <c r="EE90" s="657"/>
      <c r="EF90" s="657"/>
      <c r="EG90" s="657"/>
      <c r="EH90" s="657"/>
      <c r="EI90" s="657"/>
      <c r="EJ90" s="657"/>
      <c r="EK90" s="657"/>
      <c r="EL90" s="657"/>
      <c r="EM90" s="657"/>
      <c r="EN90" s="657"/>
      <c r="EO90" s="657"/>
      <c r="EP90" s="657"/>
      <c r="EQ90" s="657"/>
      <c r="ER90" s="657"/>
      <c r="ES90" s="657"/>
      <c r="ET90" s="657"/>
      <c r="EU90" s="657"/>
      <c r="EV90" s="657"/>
      <c r="EW90" s="657"/>
      <c r="EX90" s="657"/>
      <c r="EY90" s="657"/>
      <c r="EZ90" s="657"/>
      <c r="FA90" s="657"/>
      <c r="FB90" s="657"/>
      <c r="FC90" s="657"/>
      <c r="FD90" s="657"/>
      <c r="FE90" s="657"/>
      <c r="FF90" s="657"/>
      <c r="FG90" s="657"/>
      <c r="FH90" s="657"/>
      <c r="FI90" s="657"/>
      <c r="FJ90" s="657"/>
      <c r="FK90" s="657"/>
      <c r="FL90" s="657"/>
      <c r="FM90" s="657"/>
      <c r="FN90" s="657"/>
      <c r="FO90" s="657"/>
      <c r="FP90" s="657"/>
      <c r="FQ90" s="657"/>
      <c r="FR90" s="657"/>
      <c r="FS90" s="657"/>
      <c r="FT90" s="657"/>
      <c r="FU90" s="657"/>
      <c r="FV90" s="657"/>
      <c r="FW90" s="657"/>
      <c r="FX90" s="657"/>
      <c r="FY90" s="657"/>
      <c r="FZ90" s="657"/>
      <c r="GA90" s="657"/>
      <c r="GB90" s="657"/>
      <c r="GC90" s="657"/>
      <c r="GD90" s="657"/>
      <c r="GE90" s="657"/>
      <c r="GF90" s="657"/>
      <c r="GG90" s="657"/>
      <c r="GH90" s="657"/>
      <c r="GI90" s="657"/>
      <c r="GJ90" s="657"/>
      <c r="GK90" s="657"/>
      <c r="GL90" s="657"/>
      <c r="GM90" s="657"/>
      <c r="GN90" s="657"/>
      <c r="GO90" s="657"/>
      <c r="GP90" s="657"/>
      <c r="GQ90" s="657"/>
      <c r="GR90" s="657"/>
      <c r="GS90" s="657"/>
      <c r="GT90" s="657"/>
      <c r="GU90" s="657"/>
      <c r="GV90" s="657"/>
      <c r="GW90" s="657"/>
      <c r="GX90" s="657"/>
      <c r="GY90" s="657"/>
      <c r="GZ90" s="657"/>
      <c r="HA90" s="657"/>
      <c r="HB90" s="657"/>
      <c r="HC90" s="657"/>
      <c r="HD90" s="657"/>
      <c r="HE90" s="657"/>
      <c r="HF90" s="657"/>
      <c r="HG90" s="657"/>
      <c r="HH90" s="657"/>
      <c r="HI90" s="657"/>
      <c r="HJ90" s="657"/>
      <c r="HK90" s="657"/>
      <c r="HL90" s="657"/>
      <c r="HM90" s="657"/>
      <c r="HN90" s="657"/>
      <c r="HO90" s="657"/>
      <c r="HP90" s="657"/>
      <c r="HQ90" s="657"/>
      <c r="HR90" s="657"/>
      <c r="HS90" s="657"/>
      <c r="HT90" s="657"/>
      <c r="HU90" s="657"/>
      <c r="HV90" s="657"/>
      <c r="HW90" s="657"/>
      <c r="HX90" s="657"/>
      <c r="HY90" s="657"/>
      <c r="HZ90" s="657"/>
      <c r="IA90" s="657"/>
      <c r="IB90" s="657"/>
      <c r="IC90" s="657"/>
      <c r="ID90" s="657"/>
      <c r="IE90" s="657"/>
      <c r="IF90" s="657"/>
      <c r="IG90" s="657"/>
      <c r="IH90" s="657"/>
      <c r="II90" s="657"/>
      <c r="IJ90" s="657"/>
      <c r="IK90" s="657"/>
      <c r="IL90" s="657"/>
      <c r="IM90" s="657"/>
      <c r="IN90" s="657"/>
      <c r="IO90" s="657"/>
      <c r="IP90" s="657"/>
      <c r="IQ90" s="657"/>
      <c r="IR90" s="657"/>
      <c r="IS90" s="657"/>
    </row>
    <row r="91" spans="1:253">
      <c r="A91" s="623" t="s">
        <v>556</v>
      </c>
      <c r="B91" s="624" t="s">
        <v>1760</v>
      </c>
      <c r="C91" s="634"/>
      <c r="D91" s="635"/>
      <c r="E91" s="627"/>
      <c r="F91" s="635"/>
      <c r="G91" s="635"/>
      <c r="H91" s="629"/>
      <c r="I91" s="635"/>
      <c r="J91" s="631"/>
      <c r="K91" s="631"/>
      <c r="L91" s="635"/>
      <c r="M91" s="635"/>
      <c r="N91" s="635"/>
      <c r="O91" s="626"/>
    </row>
    <row r="92" spans="1:253">
      <c r="A92" s="647"/>
      <c r="B92" s="648" t="s">
        <v>1761</v>
      </c>
      <c r="C92" s="639" t="s">
        <v>1659</v>
      </c>
      <c r="D92" s="640">
        <v>500</v>
      </c>
      <c r="E92" s="641">
        <v>0.49</v>
      </c>
      <c r="F92" s="642">
        <f t="shared" ref="F92:F102" si="23">D92*E92</f>
        <v>245</v>
      </c>
      <c r="G92" s="642">
        <f t="shared" ref="G92:G102" si="24">D92-F92</f>
        <v>255</v>
      </c>
      <c r="H92" s="643">
        <f t="shared" si="18"/>
        <v>0</v>
      </c>
      <c r="I92" s="642">
        <f t="shared" ref="I92:I102" si="25">G92-G92*H92</f>
        <v>255</v>
      </c>
      <c r="J92" s="643">
        <v>0.1</v>
      </c>
      <c r="K92" s="644">
        <v>0.8</v>
      </c>
      <c r="L92" s="645">
        <f t="shared" si="20"/>
        <v>25.5</v>
      </c>
      <c r="M92" s="642">
        <f t="shared" si="21"/>
        <v>204</v>
      </c>
      <c r="N92" s="642">
        <f t="shared" si="22"/>
        <v>25.5</v>
      </c>
      <c r="O92" s="639"/>
    </row>
    <row r="93" spans="1:253">
      <c r="A93" s="647"/>
      <c r="B93" s="648" t="s">
        <v>1762</v>
      </c>
      <c r="C93" s="639" t="s">
        <v>1659</v>
      </c>
      <c r="D93" s="640">
        <v>3000</v>
      </c>
      <c r="E93" s="641">
        <v>0.49</v>
      </c>
      <c r="F93" s="642">
        <f t="shared" si="23"/>
        <v>1470</v>
      </c>
      <c r="G93" s="642">
        <f t="shared" si="24"/>
        <v>1530</v>
      </c>
      <c r="H93" s="643">
        <f t="shared" si="18"/>
        <v>0</v>
      </c>
      <c r="I93" s="642">
        <f t="shared" si="25"/>
        <v>1530</v>
      </c>
      <c r="J93" s="643">
        <v>0.1</v>
      </c>
      <c r="K93" s="644">
        <v>0.6</v>
      </c>
      <c r="L93" s="645">
        <f t="shared" si="20"/>
        <v>153</v>
      </c>
      <c r="M93" s="642">
        <f t="shared" si="21"/>
        <v>918</v>
      </c>
      <c r="N93" s="642">
        <f t="shared" si="22"/>
        <v>459</v>
      </c>
      <c r="O93" s="639"/>
      <c r="P93" s="636"/>
      <c r="Q93" s="636"/>
      <c r="R93" s="636"/>
      <c r="S93" s="636"/>
      <c r="T93" s="636"/>
      <c r="U93" s="636"/>
      <c r="V93" s="636"/>
      <c r="W93" s="636"/>
      <c r="X93" s="636"/>
      <c r="Y93" s="636"/>
      <c r="Z93" s="636"/>
      <c r="AA93" s="636"/>
      <c r="AB93" s="636"/>
      <c r="AC93" s="636"/>
      <c r="AD93" s="636"/>
      <c r="AE93" s="636"/>
      <c r="AF93" s="636"/>
      <c r="AG93" s="636"/>
      <c r="AH93" s="636"/>
      <c r="AI93" s="636"/>
      <c r="AJ93" s="636"/>
      <c r="AK93" s="636"/>
      <c r="AL93" s="636"/>
      <c r="AM93" s="636"/>
      <c r="AN93" s="636"/>
      <c r="AO93" s="636"/>
      <c r="AP93" s="636"/>
      <c r="AQ93" s="636"/>
      <c r="AR93" s="636"/>
      <c r="AS93" s="636"/>
      <c r="AT93" s="636"/>
      <c r="AU93" s="636"/>
      <c r="AV93" s="636"/>
      <c r="AW93" s="636"/>
      <c r="AX93" s="636"/>
      <c r="AY93" s="636"/>
      <c r="AZ93" s="636"/>
      <c r="BA93" s="636"/>
      <c r="BB93" s="636"/>
      <c r="BC93" s="636"/>
      <c r="BD93" s="636"/>
      <c r="BE93" s="636"/>
      <c r="BF93" s="636"/>
      <c r="BG93" s="636"/>
      <c r="BH93" s="636"/>
      <c r="BI93" s="636"/>
      <c r="BJ93" s="636"/>
      <c r="BK93" s="636"/>
      <c r="BL93" s="636"/>
      <c r="BM93" s="636"/>
      <c r="BN93" s="636"/>
      <c r="BO93" s="636"/>
      <c r="BP93" s="636"/>
      <c r="BQ93" s="636"/>
      <c r="BR93" s="636"/>
      <c r="BS93" s="636"/>
      <c r="BT93" s="636"/>
      <c r="BU93" s="636"/>
      <c r="BV93" s="636"/>
      <c r="BW93" s="636"/>
      <c r="BX93" s="636"/>
      <c r="BY93" s="636"/>
      <c r="BZ93" s="636"/>
      <c r="CA93" s="636"/>
      <c r="CB93" s="636"/>
      <c r="CC93" s="636"/>
      <c r="CD93" s="636"/>
      <c r="CE93" s="636"/>
      <c r="CF93" s="636"/>
      <c r="CG93" s="636"/>
      <c r="CH93" s="636"/>
      <c r="CI93" s="636"/>
      <c r="CJ93" s="636"/>
      <c r="CK93" s="636"/>
      <c r="CL93" s="636"/>
      <c r="CM93" s="636"/>
      <c r="CN93" s="636"/>
      <c r="CO93" s="636"/>
      <c r="CP93" s="636"/>
      <c r="CQ93" s="636"/>
      <c r="CR93" s="636"/>
      <c r="CS93" s="636"/>
      <c r="CT93" s="636"/>
      <c r="CU93" s="636"/>
      <c r="CV93" s="636"/>
      <c r="CW93" s="636"/>
      <c r="CX93" s="636"/>
      <c r="CY93" s="636"/>
      <c r="CZ93" s="636"/>
      <c r="DA93" s="636"/>
      <c r="DB93" s="636"/>
      <c r="DC93" s="636"/>
      <c r="DD93" s="636"/>
      <c r="DE93" s="636"/>
      <c r="DF93" s="636"/>
      <c r="DG93" s="636"/>
      <c r="DH93" s="636"/>
      <c r="DI93" s="636"/>
      <c r="DJ93" s="636"/>
      <c r="DK93" s="636"/>
      <c r="DL93" s="636"/>
      <c r="DM93" s="636"/>
      <c r="DN93" s="636"/>
      <c r="DO93" s="636"/>
      <c r="DP93" s="636"/>
      <c r="DQ93" s="636"/>
      <c r="DR93" s="636"/>
      <c r="DS93" s="636"/>
      <c r="DT93" s="636"/>
      <c r="DU93" s="636"/>
      <c r="DV93" s="636"/>
      <c r="DW93" s="636"/>
      <c r="DX93" s="636"/>
      <c r="DY93" s="636"/>
      <c r="DZ93" s="636"/>
      <c r="EA93" s="636"/>
      <c r="EB93" s="636"/>
      <c r="EC93" s="636"/>
      <c r="ED93" s="636"/>
      <c r="EE93" s="636"/>
      <c r="EF93" s="636"/>
      <c r="EG93" s="636"/>
      <c r="EH93" s="636"/>
      <c r="EI93" s="636"/>
      <c r="EJ93" s="636"/>
      <c r="EK93" s="636"/>
      <c r="EL93" s="636"/>
      <c r="EM93" s="636"/>
      <c r="EN93" s="636"/>
      <c r="EO93" s="636"/>
      <c r="EP93" s="636"/>
      <c r="EQ93" s="636"/>
      <c r="ER93" s="636"/>
      <c r="ES93" s="636"/>
      <c r="ET93" s="636"/>
      <c r="EU93" s="636"/>
      <c r="EV93" s="636"/>
      <c r="EW93" s="636"/>
      <c r="EX93" s="636"/>
      <c r="EY93" s="636"/>
      <c r="EZ93" s="636"/>
      <c r="FA93" s="636"/>
      <c r="FB93" s="636"/>
      <c r="FC93" s="636"/>
      <c r="FD93" s="636"/>
      <c r="FE93" s="636"/>
      <c r="FF93" s="636"/>
      <c r="FG93" s="636"/>
      <c r="FH93" s="636"/>
      <c r="FI93" s="636"/>
      <c r="FJ93" s="636"/>
      <c r="FK93" s="636"/>
      <c r="FL93" s="636"/>
      <c r="FM93" s="636"/>
      <c r="FN93" s="636"/>
      <c r="FO93" s="636"/>
      <c r="FP93" s="636"/>
      <c r="FQ93" s="636"/>
      <c r="FR93" s="636"/>
      <c r="FS93" s="636"/>
      <c r="FT93" s="636"/>
      <c r="FU93" s="636"/>
      <c r="FV93" s="636"/>
      <c r="FW93" s="636"/>
      <c r="FX93" s="636"/>
      <c r="FY93" s="636"/>
      <c r="FZ93" s="636"/>
      <c r="GA93" s="636"/>
      <c r="GB93" s="636"/>
      <c r="GC93" s="636"/>
      <c r="GD93" s="636"/>
      <c r="GE93" s="636"/>
      <c r="GF93" s="636"/>
      <c r="GG93" s="636"/>
      <c r="GH93" s="636"/>
      <c r="GI93" s="636"/>
      <c r="GJ93" s="636"/>
      <c r="GK93" s="636"/>
      <c r="GL93" s="636"/>
      <c r="GM93" s="636"/>
      <c r="GN93" s="636"/>
      <c r="GO93" s="636"/>
      <c r="GP93" s="636"/>
      <c r="GQ93" s="636"/>
      <c r="GR93" s="636"/>
      <c r="GS93" s="636"/>
      <c r="GT93" s="636"/>
      <c r="GU93" s="636"/>
      <c r="GV93" s="636"/>
      <c r="GW93" s="636"/>
      <c r="GX93" s="636"/>
      <c r="GY93" s="636"/>
      <c r="GZ93" s="636"/>
      <c r="HA93" s="636"/>
      <c r="HB93" s="636"/>
      <c r="HC93" s="636"/>
      <c r="HD93" s="636"/>
      <c r="HE93" s="636"/>
      <c r="HF93" s="636"/>
      <c r="HG93" s="636"/>
      <c r="HH93" s="636"/>
      <c r="HI93" s="636"/>
      <c r="HJ93" s="636"/>
      <c r="HK93" s="636"/>
      <c r="HL93" s="636"/>
      <c r="HM93" s="636"/>
      <c r="HN93" s="636"/>
      <c r="HO93" s="636"/>
      <c r="HP93" s="636"/>
      <c r="HQ93" s="636"/>
      <c r="HR93" s="636"/>
      <c r="HS93" s="636"/>
      <c r="HT93" s="636"/>
      <c r="HU93" s="636"/>
      <c r="HV93" s="636"/>
      <c r="HW93" s="636"/>
      <c r="HX93" s="636"/>
      <c r="HY93" s="636"/>
      <c r="HZ93" s="636"/>
      <c r="IA93" s="636"/>
      <c r="IB93" s="636"/>
      <c r="IC93" s="636"/>
      <c r="ID93" s="636"/>
      <c r="IE93" s="636"/>
      <c r="IF93" s="636"/>
      <c r="IG93" s="636"/>
      <c r="IH93" s="636"/>
      <c r="II93" s="636"/>
      <c r="IJ93" s="636"/>
      <c r="IK93" s="636"/>
      <c r="IL93" s="636"/>
      <c r="IM93" s="636"/>
      <c r="IN93" s="636"/>
      <c r="IO93" s="636"/>
      <c r="IP93" s="636"/>
      <c r="IQ93" s="636"/>
      <c r="IR93" s="636"/>
      <c r="IS93" s="636"/>
    </row>
    <row r="94" spans="1:253">
      <c r="A94" s="647"/>
      <c r="B94" s="648" t="s">
        <v>1763</v>
      </c>
      <c r="C94" s="639" t="s">
        <v>1659</v>
      </c>
      <c r="D94" s="640">
        <v>10000</v>
      </c>
      <c r="E94" s="641">
        <v>0.49</v>
      </c>
      <c r="F94" s="642">
        <f t="shared" si="23"/>
        <v>4900</v>
      </c>
      <c r="G94" s="642">
        <f t="shared" si="24"/>
        <v>5100</v>
      </c>
      <c r="H94" s="643">
        <f t="shared" si="18"/>
        <v>0</v>
      </c>
      <c r="I94" s="642">
        <f t="shared" si="25"/>
        <v>5100</v>
      </c>
      <c r="J94" s="643">
        <v>0.1</v>
      </c>
      <c r="K94" s="644">
        <v>0.6</v>
      </c>
      <c r="L94" s="645">
        <f t="shared" si="20"/>
        <v>510</v>
      </c>
      <c r="M94" s="642">
        <f t="shared" si="21"/>
        <v>3060</v>
      </c>
      <c r="N94" s="642">
        <f t="shared" si="22"/>
        <v>1530</v>
      </c>
      <c r="O94" s="639"/>
    </row>
    <row r="95" spans="1:253" ht="25.5">
      <c r="A95" s="647"/>
      <c r="B95" s="648" t="s">
        <v>1764</v>
      </c>
      <c r="C95" s="639" t="s">
        <v>1659</v>
      </c>
      <c r="D95" s="640">
        <v>1500</v>
      </c>
      <c r="E95" s="641">
        <v>0.49</v>
      </c>
      <c r="F95" s="642">
        <f t="shared" si="23"/>
        <v>735</v>
      </c>
      <c r="G95" s="642">
        <f t="shared" si="24"/>
        <v>765</v>
      </c>
      <c r="H95" s="643">
        <f t="shared" si="18"/>
        <v>0</v>
      </c>
      <c r="I95" s="642">
        <f t="shared" si="25"/>
        <v>765</v>
      </c>
      <c r="J95" s="643">
        <v>0.1</v>
      </c>
      <c r="K95" s="644">
        <v>0.7</v>
      </c>
      <c r="L95" s="645">
        <f t="shared" si="20"/>
        <v>76.5</v>
      </c>
      <c r="M95" s="642">
        <f t="shared" si="21"/>
        <v>535.5</v>
      </c>
      <c r="N95" s="642">
        <f t="shared" si="22"/>
        <v>153</v>
      </c>
      <c r="O95" s="639">
        <v>2014</v>
      </c>
    </row>
    <row r="96" spans="1:253">
      <c r="A96" s="647"/>
      <c r="B96" s="648" t="s">
        <v>1765</v>
      </c>
      <c r="C96" s="639" t="s">
        <v>1659</v>
      </c>
      <c r="D96" s="640">
        <v>10000</v>
      </c>
      <c r="E96" s="641">
        <v>0.49</v>
      </c>
      <c r="F96" s="642">
        <f t="shared" si="23"/>
        <v>4900</v>
      </c>
      <c r="G96" s="642">
        <f t="shared" si="24"/>
        <v>5100</v>
      </c>
      <c r="H96" s="643">
        <f t="shared" si="18"/>
        <v>0</v>
      </c>
      <c r="I96" s="642">
        <f t="shared" si="25"/>
        <v>5100</v>
      </c>
      <c r="J96" s="643">
        <v>0.1</v>
      </c>
      <c r="K96" s="644">
        <v>0.7</v>
      </c>
      <c r="L96" s="645">
        <f t="shared" si="20"/>
        <v>510</v>
      </c>
      <c r="M96" s="642">
        <f t="shared" si="21"/>
        <v>3570</v>
      </c>
      <c r="N96" s="642">
        <f t="shared" si="22"/>
        <v>1020</v>
      </c>
      <c r="O96" s="639">
        <v>2016</v>
      </c>
    </row>
    <row r="97" spans="1:253">
      <c r="A97" s="647"/>
      <c r="B97" s="648" t="s">
        <v>1766</v>
      </c>
      <c r="C97" s="639" t="s">
        <v>1659</v>
      </c>
      <c r="D97" s="640">
        <v>12500</v>
      </c>
      <c r="E97" s="641">
        <v>0.49</v>
      </c>
      <c r="F97" s="642">
        <f t="shared" si="23"/>
        <v>6125</v>
      </c>
      <c r="G97" s="642">
        <f t="shared" si="24"/>
        <v>6375</v>
      </c>
      <c r="H97" s="643">
        <f t="shared" si="18"/>
        <v>0</v>
      </c>
      <c r="I97" s="642">
        <f t="shared" si="25"/>
        <v>6375</v>
      </c>
      <c r="J97" s="643">
        <v>0.1</v>
      </c>
      <c r="K97" s="644">
        <v>0.8</v>
      </c>
      <c r="L97" s="645">
        <f t="shared" si="20"/>
        <v>637.5</v>
      </c>
      <c r="M97" s="642">
        <f t="shared" si="21"/>
        <v>5100</v>
      </c>
      <c r="N97" s="642">
        <f t="shared" si="22"/>
        <v>637.5</v>
      </c>
      <c r="O97" s="639"/>
    </row>
    <row r="98" spans="1:253" ht="25.5">
      <c r="A98" s="647"/>
      <c r="B98" s="648" t="s">
        <v>1767</v>
      </c>
      <c r="C98" s="639" t="s">
        <v>1659</v>
      </c>
      <c r="D98" s="640">
        <v>5000</v>
      </c>
      <c r="E98" s="641">
        <v>0.49</v>
      </c>
      <c r="F98" s="642">
        <f t="shared" si="23"/>
        <v>2450</v>
      </c>
      <c r="G98" s="642">
        <f t="shared" si="24"/>
        <v>2550</v>
      </c>
      <c r="H98" s="643">
        <f t="shared" si="18"/>
        <v>0</v>
      </c>
      <c r="I98" s="642">
        <f t="shared" si="25"/>
        <v>2550</v>
      </c>
      <c r="J98" s="643">
        <v>0.1</v>
      </c>
      <c r="K98" s="644">
        <v>0.8</v>
      </c>
      <c r="L98" s="645">
        <f t="shared" si="20"/>
        <v>255</v>
      </c>
      <c r="M98" s="642">
        <f t="shared" si="21"/>
        <v>2040</v>
      </c>
      <c r="N98" s="642">
        <f t="shared" si="22"/>
        <v>255</v>
      </c>
      <c r="O98" s="639"/>
    </row>
    <row r="99" spans="1:253">
      <c r="A99" s="647"/>
      <c r="B99" s="648" t="s">
        <v>1768</v>
      </c>
      <c r="C99" s="639" t="s">
        <v>1659</v>
      </c>
      <c r="D99" s="640">
        <v>3000</v>
      </c>
      <c r="E99" s="641">
        <v>0.49</v>
      </c>
      <c r="F99" s="642">
        <f t="shared" si="23"/>
        <v>1470</v>
      </c>
      <c r="G99" s="642">
        <f t="shared" si="24"/>
        <v>1530</v>
      </c>
      <c r="H99" s="643">
        <f t="shared" si="18"/>
        <v>0</v>
      </c>
      <c r="I99" s="642">
        <f t="shared" si="25"/>
        <v>1530</v>
      </c>
      <c r="J99" s="643">
        <v>0.1</v>
      </c>
      <c r="K99" s="644">
        <v>0.7</v>
      </c>
      <c r="L99" s="645">
        <f t="shared" si="20"/>
        <v>153</v>
      </c>
      <c r="M99" s="642">
        <f t="shared" si="21"/>
        <v>1071</v>
      </c>
      <c r="N99" s="642">
        <f t="shared" si="22"/>
        <v>306</v>
      </c>
      <c r="O99" s="639">
        <v>2014</v>
      </c>
    </row>
    <row r="100" spans="1:253">
      <c r="A100" s="647"/>
      <c r="B100" s="648" t="s">
        <v>1769</v>
      </c>
      <c r="C100" s="639" t="s">
        <v>1659</v>
      </c>
      <c r="D100" s="640">
        <v>6000</v>
      </c>
      <c r="E100" s="641">
        <v>0.49</v>
      </c>
      <c r="F100" s="642">
        <f t="shared" si="23"/>
        <v>2940</v>
      </c>
      <c r="G100" s="642">
        <f t="shared" si="24"/>
        <v>3060</v>
      </c>
      <c r="H100" s="643">
        <f t="shared" si="18"/>
        <v>0</v>
      </c>
      <c r="I100" s="642">
        <f t="shared" si="25"/>
        <v>3060</v>
      </c>
      <c r="J100" s="643">
        <v>0.1</v>
      </c>
      <c r="K100" s="644">
        <v>0.7</v>
      </c>
      <c r="L100" s="645">
        <f t="shared" si="20"/>
        <v>306</v>
      </c>
      <c r="M100" s="642">
        <f t="shared" si="21"/>
        <v>2142</v>
      </c>
      <c r="N100" s="642">
        <f t="shared" si="22"/>
        <v>612</v>
      </c>
      <c r="O100" s="639">
        <v>2014</v>
      </c>
    </row>
    <row r="101" spans="1:253">
      <c r="A101" s="647"/>
      <c r="B101" s="648" t="s">
        <v>1770</v>
      </c>
      <c r="C101" s="639" t="s">
        <v>1659</v>
      </c>
      <c r="D101" s="640">
        <v>3000</v>
      </c>
      <c r="E101" s="641">
        <v>0.49</v>
      </c>
      <c r="F101" s="642">
        <f t="shared" si="23"/>
        <v>1470</v>
      </c>
      <c r="G101" s="642">
        <f t="shared" si="24"/>
        <v>1530</v>
      </c>
      <c r="H101" s="643">
        <f t="shared" si="18"/>
        <v>0</v>
      </c>
      <c r="I101" s="642">
        <f t="shared" si="25"/>
        <v>1530</v>
      </c>
      <c r="J101" s="643">
        <v>0.1</v>
      </c>
      <c r="K101" s="644">
        <v>0.7</v>
      </c>
      <c r="L101" s="645">
        <f t="shared" si="20"/>
        <v>153</v>
      </c>
      <c r="M101" s="642">
        <f t="shared" si="21"/>
        <v>1071</v>
      </c>
      <c r="N101" s="642">
        <f t="shared" si="22"/>
        <v>306</v>
      </c>
      <c r="O101" s="639">
        <v>2014</v>
      </c>
    </row>
    <row r="102" spans="1:253" ht="13.5">
      <c r="A102" s="649"/>
      <c r="B102" s="650" t="s">
        <v>1749</v>
      </c>
      <c r="C102" s="639" t="s">
        <v>1659</v>
      </c>
      <c r="D102" s="651">
        <f>8500-3000</f>
        <v>5500</v>
      </c>
      <c r="E102" s="652">
        <v>0</v>
      </c>
      <c r="F102" s="653">
        <f t="shared" si="23"/>
        <v>0</v>
      </c>
      <c r="G102" s="653">
        <f t="shared" si="24"/>
        <v>5500</v>
      </c>
      <c r="H102" s="643">
        <f t="shared" si="18"/>
        <v>0</v>
      </c>
      <c r="I102" s="653">
        <f t="shared" si="25"/>
        <v>5500</v>
      </c>
      <c r="J102" s="654">
        <v>0.1</v>
      </c>
      <c r="K102" s="655">
        <v>0.8</v>
      </c>
      <c r="L102" s="645">
        <f t="shared" si="20"/>
        <v>550</v>
      </c>
      <c r="M102" s="642">
        <f t="shared" si="21"/>
        <v>4400</v>
      </c>
      <c r="N102" s="642">
        <f t="shared" si="22"/>
        <v>550</v>
      </c>
      <c r="O102" s="656" t="s">
        <v>1771</v>
      </c>
      <c r="P102" s="657"/>
      <c r="Q102" s="657"/>
      <c r="R102" s="657"/>
      <c r="S102" s="657"/>
      <c r="T102" s="657"/>
      <c r="U102" s="657"/>
      <c r="V102" s="657"/>
      <c r="W102" s="657"/>
      <c r="X102" s="657"/>
      <c r="Y102" s="657"/>
      <c r="Z102" s="657"/>
      <c r="AA102" s="657"/>
      <c r="AB102" s="657"/>
      <c r="AC102" s="657"/>
      <c r="AD102" s="657"/>
      <c r="AE102" s="657"/>
      <c r="AF102" s="657"/>
      <c r="AG102" s="657"/>
      <c r="AH102" s="657"/>
      <c r="AI102" s="657"/>
      <c r="AJ102" s="657"/>
      <c r="AK102" s="657"/>
      <c r="AL102" s="657"/>
      <c r="AM102" s="657"/>
      <c r="AN102" s="657"/>
      <c r="AO102" s="657"/>
      <c r="AP102" s="657"/>
      <c r="AQ102" s="657"/>
      <c r="AR102" s="657"/>
      <c r="AS102" s="657"/>
      <c r="AT102" s="657"/>
      <c r="AU102" s="657"/>
      <c r="AV102" s="657"/>
      <c r="AW102" s="657"/>
      <c r="AX102" s="657"/>
      <c r="AY102" s="657"/>
      <c r="AZ102" s="657"/>
      <c r="BA102" s="657"/>
      <c r="BB102" s="657"/>
      <c r="BC102" s="657"/>
      <c r="BD102" s="657"/>
      <c r="BE102" s="657"/>
      <c r="BF102" s="657"/>
      <c r="BG102" s="657"/>
      <c r="BH102" s="657"/>
      <c r="BI102" s="657"/>
      <c r="BJ102" s="657"/>
      <c r="BK102" s="657"/>
      <c r="BL102" s="657"/>
      <c r="BM102" s="657"/>
      <c r="BN102" s="657"/>
      <c r="BO102" s="657"/>
      <c r="BP102" s="657"/>
      <c r="BQ102" s="657"/>
      <c r="BR102" s="657"/>
      <c r="BS102" s="657"/>
      <c r="BT102" s="657"/>
      <c r="BU102" s="657"/>
      <c r="BV102" s="657"/>
      <c r="BW102" s="657"/>
      <c r="BX102" s="657"/>
      <c r="BY102" s="657"/>
      <c r="BZ102" s="657"/>
      <c r="CA102" s="657"/>
      <c r="CB102" s="657"/>
      <c r="CC102" s="657"/>
      <c r="CD102" s="657"/>
      <c r="CE102" s="657"/>
      <c r="CF102" s="657"/>
      <c r="CG102" s="657"/>
      <c r="CH102" s="657"/>
      <c r="CI102" s="657"/>
      <c r="CJ102" s="657"/>
      <c r="CK102" s="657"/>
      <c r="CL102" s="657"/>
      <c r="CM102" s="657"/>
      <c r="CN102" s="657"/>
      <c r="CO102" s="657"/>
      <c r="CP102" s="657"/>
      <c r="CQ102" s="657"/>
      <c r="CR102" s="657"/>
      <c r="CS102" s="657"/>
      <c r="CT102" s="657"/>
      <c r="CU102" s="657"/>
      <c r="CV102" s="657"/>
      <c r="CW102" s="657"/>
      <c r="CX102" s="657"/>
      <c r="CY102" s="657"/>
      <c r="CZ102" s="657"/>
      <c r="DA102" s="657"/>
      <c r="DB102" s="657"/>
      <c r="DC102" s="657"/>
      <c r="DD102" s="657"/>
      <c r="DE102" s="657"/>
      <c r="DF102" s="657"/>
      <c r="DG102" s="657"/>
      <c r="DH102" s="657"/>
      <c r="DI102" s="657"/>
      <c r="DJ102" s="657"/>
      <c r="DK102" s="657"/>
      <c r="DL102" s="657"/>
      <c r="DM102" s="657"/>
      <c r="DN102" s="657"/>
      <c r="DO102" s="657"/>
      <c r="DP102" s="657"/>
      <c r="DQ102" s="657"/>
      <c r="DR102" s="657"/>
      <c r="DS102" s="657"/>
      <c r="DT102" s="657"/>
      <c r="DU102" s="657"/>
      <c r="DV102" s="657"/>
      <c r="DW102" s="657"/>
      <c r="DX102" s="657"/>
      <c r="DY102" s="657"/>
      <c r="DZ102" s="657"/>
      <c r="EA102" s="657"/>
      <c r="EB102" s="657"/>
      <c r="EC102" s="657"/>
      <c r="ED102" s="657"/>
      <c r="EE102" s="657"/>
      <c r="EF102" s="657"/>
      <c r="EG102" s="657"/>
      <c r="EH102" s="657"/>
      <c r="EI102" s="657"/>
      <c r="EJ102" s="657"/>
      <c r="EK102" s="657"/>
      <c r="EL102" s="657"/>
      <c r="EM102" s="657"/>
      <c r="EN102" s="657"/>
      <c r="EO102" s="657"/>
      <c r="EP102" s="657"/>
      <c r="EQ102" s="657"/>
      <c r="ER102" s="657"/>
      <c r="ES102" s="657"/>
      <c r="ET102" s="657"/>
      <c r="EU102" s="657"/>
      <c r="EV102" s="657"/>
      <c r="EW102" s="657"/>
      <c r="EX102" s="657"/>
      <c r="EY102" s="657"/>
      <c r="EZ102" s="657"/>
      <c r="FA102" s="657"/>
      <c r="FB102" s="657"/>
      <c r="FC102" s="657"/>
      <c r="FD102" s="657"/>
      <c r="FE102" s="657"/>
      <c r="FF102" s="657"/>
      <c r="FG102" s="657"/>
      <c r="FH102" s="657"/>
      <c r="FI102" s="657"/>
      <c r="FJ102" s="657"/>
      <c r="FK102" s="657"/>
      <c r="FL102" s="657"/>
      <c r="FM102" s="657"/>
      <c r="FN102" s="657"/>
      <c r="FO102" s="657"/>
      <c r="FP102" s="657"/>
      <c r="FQ102" s="657"/>
      <c r="FR102" s="657"/>
      <c r="FS102" s="657"/>
      <c r="FT102" s="657"/>
      <c r="FU102" s="657"/>
      <c r="FV102" s="657"/>
      <c r="FW102" s="657"/>
      <c r="FX102" s="657"/>
      <c r="FY102" s="657"/>
      <c r="FZ102" s="657"/>
      <c r="GA102" s="657"/>
      <c r="GB102" s="657"/>
      <c r="GC102" s="657"/>
      <c r="GD102" s="657"/>
      <c r="GE102" s="657"/>
      <c r="GF102" s="657"/>
      <c r="GG102" s="657"/>
      <c r="GH102" s="657"/>
      <c r="GI102" s="657"/>
      <c r="GJ102" s="657"/>
      <c r="GK102" s="657"/>
      <c r="GL102" s="657"/>
      <c r="GM102" s="657"/>
      <c r="GN102" s="657"/>
      <c r="GO102" s="657"/>
      <c r="GP102" s="657"/>
      <c r="GQ102" s="657"/>
      <c r="GR102" s="657"/>
      <c r="GS102" s="657"/>
      <c r="GT102" s="657"/>
      <c r="GU102" s="657"/>
      <c r="GV102" s="657"/>
      <c r="GW102" s="657"/>
      <c r="GX102" s="657"/>
      <c r="GY102" s="657"/>
      <c r="GZ102" s="657"/>
      <c r="HA102" s="657"/>
      <c r="HB102" s="657"/>
      <c r="HC102" s="657"/>
      <c r="HD102" s="657"/>
      <c r="HE102" s="657"/>
      <c r="HF102" s="657"/>
      <c r="HG102" s="657"/>
      <c r="HH102" s="657"/>
      <c r="HI102" s="657"/>
      <c r="HJ102" s="657"/>
      <c r="HK102" s="657"/>
      <c r="HL102" s="657"/>
      <c r="HM102" s="657"/>
      <c r="HN102" s="657"/>
      <c r="HO102" s="657"/>
      <c r="HP102" s="657"/>
      <c r="HQ102" s="657"/>
      <c r="HR102" s="657"/>
      <c r="HS102" s="657"/>
      <c r="HT102" s="657"/>
      <c r="HU102" s="657"/>
      <c r="HV102" s="657"/>
      <c r="HW102" s="657"/>
      <c r="HX102" s="657"/>
      <c r="HY102" s="657"/>
      <c r="HZ102" s="657"/>
      <c r="IA102" s="657"/>
      <c r="IB102" s="657"/>
      <c r="IC102" s="657"/>
      <c r="ID102" s="657"/>
      <c r="IE102" s="657"/>
      <c r="IF102" s="657"/>
      <c r="IG102" s="657"/>
      <c r="IH102" s="657"/>
      <c r="II102" s="657"/>
      <c r="IJ102" s="657"/>
      <c r="IK102" s="657"/>
      <c r="IL102" s="657"/>
      <c r="IM102" s="657"/>
      <c r="IN102" s="657"/>
      <c r="IO102" s="657"/>
      <c r="IP102" s="657"/>
      <c r="IQ102" s="657"/>
      <c r="IR102" s="657"/>
      <c r="IS102" s="657"/>
    </row>
    <row r="103" spans="1:253">
      <c r="A103" s="623" t="s">
        <v>556</v>
      </c>
      <c r="B103" s="624" t="s">
        <v>1772</v>
      </c>
      <c r="C103" s="634"/>
      <c r="D103" s="635"/>
      <c r="E103" s="627"/>
      <c r="F103" s="635"/>
      <c r="G103" s="635"/>
      <c r="H103" s="629"/>
      <c r="I103" s="635"/>
      <c r="J103" s="631"/>
      <c r="K103" s="631"/>
      <c r="L103" s="635"/>
      <c r="M103" s="635"/>
      <c r="N103" s="635"/>
      <c r="O103" s="626"/>
    </row>
    <row r="104" spans="1:253">
      <c r="B104" s="648" t="s">
        <v>1773</v>
      </c>
      <c r="C104" s="639" t="s">
        <v>1660</v>
      </c>
      <c r="D104" s="640">
        <v>12500</v>
      </c>
      <c r="E104" s="641">
        <v>0.48</v>
      </c>
      <c r="F104" s="642">
        <f>D104*E104</f>
        <v>6000</v>
      </c>
      <c r="G104" s="642">
        <f>D104-F104</f>
        <v>6500</v>
      </c>
      <c r="H104" s="643">
        <f t="shared" si="18"/>
        <v>0</v>
      </c>
      <c r="I104" s="642">
        <f>G104-G104*H104</f>
        <v>6500</v>
      </c>
      <c r="J104" s="643">
        <v>0.1</v>
      </c>
      <c r="K104" s="644">
        <v>0.8</v>
      </c>
      <c r="L104" s="645">
        <f t="shared" si="20"/>
        <v>650</v>
      </c>
      <c r="M104" s="642">
        <f t="shared" si="21"/>
        <v>5200</v>
      </c>
      <c r="N104" s="642">
        <f t="shared" si="22"/>
        <v>650</v>
      </c>
      <c r="O104" s="639"/>
    </row>
    <row r="105" spans="1:253">
      <c r="A105" s="647"/>
      <c r="B105" s="648" t="s">
        <v>1774</v>
      </c>
      <c r="C105" s="639" t="s">
        <v>1660</v>
      </c>
      <c r="D105" s="640">
        <v>12500</v>
      </c>
      <c r="E105" s="641">
        <v>0.48</v>
      </c>
      <c r="F105" s="642">
        <f>D105*E105</f>
        <v>6000</v>
      </c>
      <c r="G105" s="642">
        <f>D105-F105</f>
        <v>6500</v>
      </c>
      <c r="H105" s="643">
        <f t="shared" si="18"/>
        <v>0</v>
      </c>
      <c r="I105" s="642">
        <f>G105-G105*H105</f>
        <v>6500</v>
      </c>
      <c r="J105" s="643">
        <v>0.1</v>
      </c>
      <c r="K105" s="644">
        <v>0.6</v>
      </c>
      <c r="L105" s="645">
        <f t="shared" si="20"/>
        <v>650</v>
      </c>
      <c r="M105" s="642">
        <f t="shared" si="21"/>
        <v>3900</v>
      </c>
      <c r="N105" s="642">
        <f t="shared" si="22"/>
        <v>1950</v>
      </c>
      <c r="O105" s="639"/>
    </row>
    <row r="106" spans="1:253">
      <c r="A106" s="647"/>
      <c r="B106" s="648" t="s">
        <v>1775</v>
      </c>
      <c r="C106" s="639" t="s">
        <v>1660</v>
      </c>
      <c r="D106" s="640">
        <v>7500</v>
      </c>
      <c r="E106" s="641">
        <v>0.48</v>
      </c>
      <c r="F106" s="642">
        <f t="shared" ref="F106:F111" si="26">D106*E106</f>
        <v>3600</v>
      </c>
      <c r="G106" s="642">
        <f t="shared" ref="G106:G111" si="27">D106-F106</f>
        <v>3900</v>
      </c>
      <c r="H106" s="643">
        <f t="shared" si="18"/>
        <v>0</v>
      </c>
      <c r="I106" s="642">
        <f t="shared" ref="I106:I111" si="28">G106-G106*H106</f>
        <v>3900</v>
      </c>
      <c r="J106" s="643">
        <v>0.1</v>
      </c>
      <c r="K106" s="644">
        <v>0.7</v>
      </c>
      <c r="L106" s="645">
        <f t="shared" si="20"/>
        <v>390</v>
      </c>
      <c r="M106" s="642">
        <f t="shared" si="21"/>
        <v>2730</v>
      </c>
      <c r="N106" s="642">
        <f t="shared" si="22"/>
        <v>780</v>
      </c>
      <c r="O106" s="639"/>
    </row>
    <row r="107" spans="1:253">
      <c r="A107" s="647"/>
      <c r="B107" s="648" t="s">
        <v>1776</v>
      </c>
      <c r="C107" s="639" t="s">
        <v>1660</v>
      </c>
      <c r="D107" s="640">
        <v>1200</v>
      </c>
      <c r="E107" s="641">
        <v>0.48</v>
      </c>
      <c r="F107" s="642">
        <f t="shared" si="26"/>
        <v>576</v>
      </c>
      <c r="G107" s="642">
        <f t="shared" si="27"/>
        <v>624</v>
      </c>
      <c r="H107" s="643">
        <f t="shared" si="18"/>
        <v>0</v>
      </c>
      <c r="I107" s="642">
        <f t="shared" si="28"/>
        <v>624</v>
      </c>
      <c r="J107" s="643">
        <v>0.1</v>
      </c>
      <c r="K107" s="644">
        <v>0.8</v>
      </c>
      <c r="L107" s="645">
        <f t="shared" si="20"/>
        <v>62.400000000000006</v>
      </c>
      <c r="M107" s="642">
        <f t="shared" si="21"/>
        <v>499.20000000000005</v>
      </c>
      <c r="N107" s="642">
        <f t="shared" si="22"/>
        <v>62.399999999999977</v>
      </c>
      <c r="O107" s="639"/>
    </row>
    <row r="108" spans="1:253">
      <c r="A108" s="647"/>
      <c r="B108" s="648" t="s">
        <v>1777</v>
      </c>
      <c r="C108" s="639" t="s">
        <v>1660</v>
      </c>
      <c r="D108" s="640">
        <v>5000</v>
      </c>
      <c r="E108" s="641">
        <v>0.48</v>
      </c>
      <c r="F108" s="642">
        <f t="shared" si="26"/>
        <v>2400</v>
      </c>
      <c r="G108" s="642">
        <f t="shared" si="27"/>
        <v>2600</v>
      </c>
      <c r="H108" s="643">
        <f t="shared" si="18"/>
        <v>0</v>
      </c>
      <c r="I108" s="642">
        <f t="shared" si="28"/>
        <v>2600</v>
      </c>
      <c r="J108" s="643">
        <v>0.1</v>
      </c>
      <c r="K108" s="644">
        <v>0.8</v>
      </c>
      <c r="L108" s="645">
        <f t="shared" si="20"/>
        <v>260</v>
      </c>
      <c r="M108" s="642">
        <f t="shared" si="21"/>
        <v>2080</v>
      </c>
      <c r="N108" s="642">
        <f t="shared" si="22"/>
        <v>260</v>
      </c>
      <c r="O108" s="639"/>
    </row>
    <row r="109" spans="1:253">
      <c r="A109" s="647"/>
      <c r="B109" s="648" t="s">
        <v>1778</v>
      </c>
      <c r="C109" s="639" t="s">
        <v>1660</v>
      </c>
      <c r="D109" s="640">
        <v>4000</v>
      </c>
      <c r="E109" s="641">
        <v>0.48</v>
      </c>
      <c r="F109" s="642">
        <f t="shared" si="26"/>
        <v>1920</v>
      </c>
      <c r="G109" s="642">
        <f t="shared" si="27"/>
        <v>2080</v>
      </c>
      <c r="H109" s="643">
        <f t="shared" si="18"/>
        <v>0</v>
      </c>
      <c r="I109" s="642">
        <f t="shared" si="28"/>
        <v>2080</v>
      </c>
      <c r="J109" s="643">
        <v>0.1</v>
      </c>
      <c r="K109" s="644">
        <v>0.8</v>
      </c>
      <c r="L109" s="645">
        <f t="shared" si="20"/>
        <v>208</v>
      </c>
      <c r="M109" s="642">
        <f t="shared" si="21"/>
        <v>1664</v>
      </c>
      <c r="N109" s="642">
        <f t="shared" si="22"/>
        <v>208</v>
      </c>
      <c r="O109" s="639"/>
    </row>
    <row r="110" spans="1:253">
      <c r="A110" s="647"/>
      <c r="B110" s="648" t="s">
        <v>1779</v>
      </c>
      <c r="C110" s="639" t="s">
        <v>1660</v>
      </c>
      <c r="D110" s="640">
        <v>5000</v>
      </c>
      <c r="E110" s="641">
        <v>0.48</v>
      </c>
      <c r="F110" s="642">
        <f t="shared" si="26"/>
        <v>2400</v>
      </c>
      <c r="G110" s="642">
        <f t="shared" si="27"/>
        <v>2600</v>
      </c>
      <c r="H110" s="643">
        <f t="shared" si="18"/>
        <v>0</v>
      </c>
      <c r="I110" s="642">
        <f t="shared" si="28"/>
        <v>2600</v>
      </c>
      <c r="J110" s="643">
        <v>0.1</v>
      </c>
      <c r="K110" s="644">
        <v>0.7</v>
      </c>
      <c r="L110" s="645">
        <f t="shared" si="20"/>
        <v>260</v>
      </c>
      <c r="M110" s="642">
        <f t="shared" si="21"/>
        <v>1819.9999999999998</v>
      </c>
      <c r="N110" s="642">
        <f t="shared" si="22"/>
        <v>520.00000000000023</v>
      </c>
      <c r="O110" s="639"/>
    </row>
    <row r="111" spans="1:253">
      <c r="A111" s="647"/>
      <c r="B111" s="648" t="s">
        <v>1780</v>
      </c>
      <c r="C111" s="639" t="s">
        <v>1660</v>
      </c>
      <c r="D111" s="640">
        <v>2500</v>
      </c>
      <c r="E111" s="641">
        <v>0.48</v>
      </c>
      <c r="F111" s="642">
        <f t="shared" si="26"/>
        <v>1200</v>
      </c>
      <c r="G111" s="642">
        <f t="shared" si="27"/>
        <v>1300</v>
      </c>
      <c r="H111" s="643">
        <f t="shared" si="18"/>
        <v>0</v>
      </c>
      <c r="I111" s="642">
        <f t="shared" si="28"/>
        <v>1300</v>
      </c>
      <c r="J111" s="643">
        <v>0.1</v>
      </c>
      <c r="K111" s="644">
        <v>0.6</v>
      </c>
      <c r="L111" s="645">
        <f t="shared" si="20"/>
        <v>130</v>
      </c>
      <c r="M111" s="642">
        <f t="shared" si="21"/>
        <v>780</v>
      </c>
      <c r="N111" s="642">
        <f t="shared" si="22"/>
        <v>390</v>
      </c>
      <c r="O111" s="639"/>
    </row>
    <row r="112" spans="1:253" ht="13.5">
      <c r="A112" s="649"/>
      <c r="B112" s="650" t="s">
        <v>1749</v>
      </c>
      <c r="C112" s="639" t="s">
        <v>1660</v>
      </c>
      <c r="D112" s="651">
        <v>4800</v>
      </c>
      <c r="E112" s="652">
        <v>0</v>
      </c>
      <c r="F112" s="653">
        <f>D112*E112</f>
        <v>0</v>
      </c>
      <c r="G112" s="653">
        <f>D112-F112</f>
        <v>4800</v>
      </c>
      <c r="H112" s="643">
        <f t="shared" si="18"/>
        <v>0</v>
      </c>
      <c r="I112" s="653">
        <f>G112-G112*H112</f>
        <v>4800</v>
      </c>
      <c r="J112" s="654">
        <v>0.1</v>
      </c>
      <c r="K112" s="655">
        <v>0.8</v>
      </c>
      <c r="L112" s="645">
        <f t="shared" si="20"/>
        <v>480</v>
      </c>
      <c r="M112" s="642">
        <f t="shared" si="21"/>
        <v>3840</v>
      </c>
      <c r="N112" s="642">
        <f t="shared" si="22"/>
        <v>480</v>
      </c>
      <c r="O112" s="656" t="s">
        <v>1771</v>
      </c>
      <c r="P112" s="657"/>
      <c r="Q112" s="657"/>
      <c r="R112" s="657"/>
      <c r="S112" s="657"/>
      <c r="T112" s="657"/>
      <c r="U112" s="657"/>
      <c r="V112" s="657"/>
      <c r="W112" s="657"/>
      <c r="X112" s="657"/>
      <c r="Y112" s="657"/>
      <c r="Z112" s="657"/>
      <c r="AA112" s="657"/>
      <c r="AB112" s="657"/>
      <c r="AC112" s="657"/>
      <c r="AD112" s="657"/>
      <c r="AE112" s="657"/>
      <c r="AF112" s="657"/>
      <c r="AG112" s="657"/>
      <c r="AH112" s="657"/>
      <c r="AI112" s="657"/>
      <c r="AJ112" s="657"/>
      <c r="AK112" s="657"/>
      <c r="AL112" s="657"/>
      <c r="AM112" s="657"/>
      <c r="AN112" s="657"/>
      <c r="AO112" s="657"/>
      <c r="AP112" s="657"/>
      <c r="AQ112" s="657"/>
      <c r="AR112" s="657"/>
      <c r="AS112" s="657"/>
      <c r="AT112" s="657"/>
      <c r="AU112" s="657"/>
      <c r="AV112" s="657"/>
      <c r="AW112" s="657"/>
      <c r="AX112" s="657"/>
      <c r="AY112" s="657"/>
      <c r="AZ112" s="657"/>
      <c r="BA112" s="657"/>
      <c r="BB112" s="657"/>
      <c r="BC112" s="657"/>
      <c r="BD112" s="657"/>
      <c r="BE112" s="657"/>
      <c r="BF112" s="657"/>
      <c r="BG112" s="657"/>
      <c r="BH112" s="657"/>
      <c r="BI112" s="657"/>
      <c r="BJ112" s="657"/>
      <c r="BK112" s="657"/>
      <c r="BL112" s="657"/>
      <c r="BM112" s="657"/>
      <c r="BN112" s="657"/>
      <c r="BO112" s="657"/>
      <c r="BP112" s="657"/>
      <c r="BQ112" s="657"/>
      <c r="BR112" s="657"/>
      <c r="BS112" s="657"/>
      <c r="BT112" s="657"/>
      <c r="BU112" s="657"/>
      <c r="BV112" s="657"/>
      <c r="BW112" s="657"/>
      <c r="BX112" s="657"/>
      <c r="BY112" s="657"/>
      <c r="BZ112" s="657"/>
      <c r="CA112" s="657"/>
      <c r="CB112" s="657"/>
      <c r="CC112" s="657"/>
      <c r="CD112" s="657"/>
      <c r="CE112" s="657"/>
      <c r="CF112" s="657"/>
      <c r="CG112" s="657"/>
      <c r="CH112" s="657"/>
      <c r="CI112" s="657"/>
      <c r="CJ112" s="657"/>
      <c r="CK112" s="657"/>
      <c r="CL112" s="657"/>
      <c r="CM112" s="657"/>
      <c r="CN112" s="657"/>
      <c r="CO112" s="657"/>
      <c r="CP112" s="657"/>
      <c r="CQ112" s="657"/>
      <c r="CR112" s="657"/>
      <c r="CS112" s="657"/>
      <c r="CT112" s="657"/>
      <c r="CU112" s="657"/>
      <c r="CV112" s="657"/>
      <c r="CW112" s="657"/>
      <c r="CX112" s="657"/>
      <c r="CY112" s="657"/>
      <c r="CZ112" s="657"/>
      <c r="DA112" s="657"/>
      <c r="DB112" s="657"/>
      <c r="DC112" s="657"/>
      <c r="DD112" s="657"/>
      <c r="DE112" s="657"/>
      <c r="DF112" s="657"/>
      <c r="DG112" s="657"/>
      <c r="DH112" s="657"/>
      <c r="DI112" s="657"/>
      <c r="DJ112" s="657"/>
      <c r="DK112" s="657"/>
      <c r="DL112" s="657"/>
      <c r="DM112" s="657"/>
      <c r="DN112" s="657"/>
      <c r="DO112" s="657"/>
      <c r="DP112" s="657"/>
      <c r="DQ112" s="657"/>
      <c r="DR112" s="657"/>
      <c r="DS112" s="657"/>
      <c r="DT112" s="657"/>
      <c r="DU112" s="657"/>
      <c r="DV112" s="657"/>
      <c r="DW112" s="657"/>
      <c r="DX112" s="657"/>
      <c r="DY112" s="657"/>
      <c r="DZ112" s="657"/>
      <c r="EA112" s="657"/>
      <c r="EB112" s="657"/>
      <c r="EC112" s="657"/>
      <c r="ED112" s="657"/>
      <c r="EE112" s="657"/>
      <c r="EF112" s="657"/>
      <c r="EG112" s="657"/>
      <c r="EH112" s="657"/>
      <c r="EI112" s="657"/>
      <c r="EJ112" s="657"/>
      <c r="EK112" s="657"/>
      <c r="EL112" s="657"/>
      <c r="EM112" s="657"/>
      <c r="EN112" s="657"/>
      <c r="EO112" s="657"/>
      <c r="EP112" s="657"/>
      <c r="EQ112" s="657"/>
      <c r="ER112" s="657"/>
      <c r="ES112" s="657"/>
      <c r="ET112" s="657"/>
      <c r="EU112" s="657"/>
      <c r="EV112" s="657"/>
      <c r="EW112" s="657"/>
      <c r="EX112" s="657"/>
      <c r="EY112" s="657"/>
      <c r="EZ112" s="657"/>
      <c r="FA112" s="657"/>
      <c r="FB112" s="657"/>
      <c r="FC112" s="657"/>
      <c r="FD112" s="657"/>
      <c r="FE112" s="657"/>
      <c r="FF112" s="657"/>
      <c r="FG112" s="657"/>
      <c r="FH112" s="657"/>
      <c r="FI112" s="657"/>
      <c r="FJ112" s="657"/>
      <c r="FK112" s="657"/>
      <c r="FL112" s="657"/>
      <c r="FM112" s="657"/>
      <c r="FN112" s="657"/>
      <c r="FO112" s="657"/>
      <c r="FP112" s="657"/>
      <c r="FQ112" s="657"/>
      <c r="FR112" s="657"/>
      <c r="FS112" s="657"/>
      <c r="FT112" s="657"/>
      <c r="FU112" s="657"/>
      <c r="FV112" s="657"/>
      <c r="FW112" s="657"/>
      <c r="FX112" s="657"/>
      <c r="FY112" s="657"/>
      <c r="FZ112" s="657"/>
      <c r="GA112" s="657"/>
      <c r="GB112" s="657"/>
      <c r="GC112" s="657"/>
      <c r="GD112" s="657"/>
      <c r="GE112" s="657"/>
      <c r="GF112" s="657"/>
      <c r="GG112" s="657"/>
      <c r="GH112" s="657"/>
      <c r="GI112" s="657"/>
      <c r="GJ112" s="657"/>
      <c r="GK112" s="657"/>
      <c r="GL112" s="657"/>
      <c r="GM112" s="657"/>
      <c r="GN112" s="657"/>
      <c r="GO112" s="657"/>
      <c r="GP112" s="657"/>
      <c r="GQ112" s="657"/>
      <c r="GR112" s="657"/>
      <c r="GS112" s="657"/>
      <c r="GT112" s="657"/>
      <c r="GU112" s="657"/>
      <c r="GV112" s="657"/>
      <c r="GW112" s="657"/>
      <c r="GX112" s="657"/>
      <c r="GY112" s="657"/>
      <c r="GZ112" s="657"/>
      <c r="HA112" s="657"/>
      <c r="HB112" s="657"/>
      <c r="HC112" s="657"/>
      <c r="HD112" s="657"/>
      <c r="HE112" s="657"/>
      <c r="HF112" s="657"/>
      <c r="HG112" s="657"/>
      <c r="HH112" s="657"/>
      <c r="HI112" s="657"/>
      <c r="HJ112" s="657"/>
      <c r="HK112" s="657"/>
      <c r="HL112" s="657"/>
      <c r="HM112" s="657"/>
      <c r="HN112" s="657"/>
      <c r="HO112" s="657"/>
      <c r="HP112" s="657"/>
      <c r="HQ112" s="657"/>
      <c r="HR112" s="657"/>
      <c r="HS112" s="657"/>
      <c r="HT112" s="657"/>
      <c r="HU112" s="657"/>
      <c r="HV112" s="657"/>
      <c r="HW112" s="657"/>
      <c r="HX112" s="657"/>
      <c r="HY112" s="657"/>
      <c r="HZ112" s="657"/>
      <c r="IA112" s="657"/>
      <c r="IB112" s="657"/>
      <c r="IC112" s="657"/>
      <c r="ID112" s="657"/>
      <c r="IE112" s="657"/>
      <c r="IF112" s="657"/>
      <c r="IG112" s="657"/>
      <c r="IH112" s="657"/>
      <c r="II112" s="657"/>
      <c r="IJ112" s="657"/>
      <c r="IK112" s="657"/>
      <c r="IL112" s="657"/>
      <c r="IM112" s="657"/>
      <c r="IN112" s="657"/>
      <c r="IO112" s="657"/>
      <c r="IP112" s="657"/>
      <c r="IQ112" s="657"/>
      <c r="IR112" s="657"/>
      <c r="IS112" s="657"/>
    </row>
    <row r="113" spans="1:253">
      <c r="A113" s="623" t="s">
        <v>556</v>
      </c>
      <c r="B113" s="624" t="s">
        <v>1781</v>
      </c>
      <c r="C113" s="634"/>
      <c r="D113" s="635"/>
      <c r="E113" s="627"/>
      <c r="F113" s="635"/>
      <c r="G113" s="635"/>
      <c r="H113" s="629"/>
      <c r="I113" s="635"/>
      <c r="J113" s="631"/>
      <c r="K113" s="631"/>
      <c r="L113" s="635"/>
      <c r="M113" s="635"/>
      <c r="N113" s="635"/>
      <c r="O113" s="626"/>
    </row>
    <row r="114" spans="1:253">
      <c r="A114" s="647"/>
      <c r="B114" s="648" t="s">
        <v>1782</v>
      </c>
      <c r="C114" s="639" t="s">
        <v>1658</v>
      </c>
      <c r="D114" s="640">
        <v>3000</v>
      </c>
      <c r="E114" s="641">
        <v>0.57599999999999996</v>
      </c>
      <c r="F114" s="642">
        <f t="shared" ref="F114:F124" si="29">D114*E114</f>
        <v>1727.9999999999998</v>
      </c>
      <c r="G114" s="642">
        <f t="shared" ref="G114:G124" si="30">D114-F114</f>
        <v>1272.0000000000002</v>
      </c>
      <c r="H114" s="643">
        <f t="shared" si="18"/>
        <v>0</v>
      </c>
      <c r="I114" s="642">
        <f t="shared" ref="I114:I124" si="31">G114-G114*H114</f>
        <v>1272.0000000000002</v>
      </c>
      <c r="J114" s="643">
        <v>0.1</v>
      </c>
      <c r="K114" s="644">
        <v>0.7</v>
      </c>
      <c r="L114" s="645">
        <f t="shared" si="20"/>
        <v>127.20000000000003</v>
      </c>
      <c r="M114" s="642">
        <f t="shared" si="21"/>
        <v>890.40000000000009</v>
      </c>
      <c r="N114" s="642">
        <f t="shared" si="22"/>
        <v>254.40000000000009</v>
      </c>
      <c r="O114" s="639" t="s">
        <v>1725</v>
      </c>
    </row>
    <row r="115" spans="1:253" ht="25.5">
      <c r="A115" s="647"/>
      <c r="B115" s="648" t="s">
        <v>1783</v>
      </c>
      <c r="C115" s="639" t="s">
        <v>1658</v>
      </c>
      <c r="D115" s="640">
        <v>19000</v>
      </c>
      <c r="E115" s="641">
        <v>0.57999999999999996</v>
      </c>
      <c r="F115" s="642">
        <f t="shared" si="29"/>
        <v>11020</v>
      </c>
      <c r="G115" s="642">
        <f t="shared" si="30"/>
        <v>7980</v>
      </c>
      <c r="H115" s="643">
        <f t="shared" si="18"/>
        <v>0</v>
      </c>
      <c r="I115" s="642">
        <f t="shared" si="31"/>
        <v>7980</v>
      </c>
      <c r="J115" s="643">
        <v>0.1</v>
      </c>
      <c r="K115" s="644">
        <v>0.8</v>
      </c>
      <c r="L115" s="645">
        <f t="shared" si="20"/>
        <v>798</v>
      </c>
      <c r="M115" s="642">
        <f t="shared" si="21"/>
        <v>6384</v>
      </c>
      <c r="N115" s="642">
        <f t="shared" si="22"/>
        <v>798</v>
      </c>
      <c r="O115" s="639" t="s">
        <v>1784</v>
      </c>
    </row>
    <row r="116" spans="1:253" ht="25.5">
      <c r="A116" s="647"/>
      <c r="B116" s="648" t="s">
        <v>1785</v>
      </c>
      <c r="C116" s="639" t="s">
        <v>1658</v>
      </c>
      <c r="D116" s="640">
        <v>10000</v>
      </c>
      <c r="E116" s="641">
        <v>0.57999999999999996</v>
      </c>
      <c r="F116" s="642">
        <f t="shared" si="29"/>
        <v>5800</v>
      </c>
      <c r="G116" s="642">
        <f t="shared" si="30"/>
        <v>4200</v>
      </c>
      <c r="H116" s="643">
        <f t="shared" si="18"/>
        <v>0</v>
      </c>
      <c r="I116" s="642">
        <f t="shared" si="31"/>
        <v>4200</v>
      </c>
      <c r="J116" s="643">
        <v>0.1</v>
      </c>
      <c r="K116" s="644">
        <v>0.7</v>
      </c>
      <c r="L116" s="645">
        <f t="shared" si="20"/>
        <v>420</v>
      </c>
      <c r="M116" s="642">
        <f t="shared" si="21"/>
        <v>2940</v>
      </c>
      <c r="N116" s="642">
        <f t="shared" si="22"/>
        <v>840</v>
      </c>
      <c r="O116" s="639" t="s">
        <v>1728</v>
      </c>
    </row>
    <row r="117" spans="1:253" ht="25.5">
      <c r="A117" s="647"/>
      <c r="B117" s="648" t="s">
        <v>1786</v>
      </c>
      <c r="C117" s="639" t="s">
        <v>1658</v>
      </c>
      <c r="D117" s="640">
        <v>5000</v>
      </c>
      <c r="E117" s="641">
        <v>0.57999999999999996</v>
      </c>
      <c r="F117" s="642">
        <f t="shared" si="29"/>
        <v>2900</v>
      </c>
      <c r="G117" s="642">
        <f t="shared" si="30"/>
        <v>2100</v>
      </c>
      <c r="H117" s="643">
        <f t="shared" si="18"/>
        <v>0</v>
      </c>
      <c r="I117" s="642">
        <f t="shared" si="31"/>
        <v>2100</v>
      </c>
      <c r="J117" s="643">
        <v>0.1</v>
      </c>
      <c r="K117" s="644">
        <v>0.7</v>
      </c>
      <c r="L117" s="645">
        <f t="shared" si="20"/>
        <v>210</v>
      </c>
      <c r="M117" s="642">
        <f t="shared" si="21"/>
        <v>1470</v>
      </c>
      <c r="N117" s="642">
        <f t="shared" si="22"/>
        <v>420</v>
      </c>
      <c r="O117" s="639"/>
    </row>
    <row r="118" spans="1:253">
      <c r="A118" s="647"/>
      <c r="B118" s="648" t="s">
        <v>1787</v>
      </c>
      <c r="C118" s="639" t="s">
        <v>1658</v>
      </c>
      <c r="D118" s="640">
        <v>3000</v>
      </c>
      <c r="E118" s="641">
        <v>0.57999999999999996</v>
      </c>
      <c r="F118" s="642">
        <f t="shared" si="29"/>
        <v>1739.9999999999998</v>
      </c>
      <c r="G118" s="642">
        <f t="shared" si="30"/>
        <v>1260.0000000000002</v>
      </c>
      <c r="H118" s="643">
        <f t="shared" si="18"/>
        <v>0</v>
      </c>
      <c r="I118" s="642">
        <f t="shared" si="31"/>
        <v>1260.0000000000002</v>
      </c>
      <c r="J118" s="643">
        <v>0.1</v>
      </c>
      <c r="K118" s="644">
        <v>0.7</v>
      </c>
      <c r="L118" s="645">
        <f t="shared" si="20"/>
        <v>126.00000000000003</v>
      </c>
      <c r="M118" s="642">
        <f t="shared" si="21"/>
        <v>882.00000000000011</v>
      </c>
      <c r="N118" s="642">
        <f t="shared" si="22"/>
        <v>252.00000000000011</v>
      </c>
      <c r="O118" s="639"/>
    </row>
    <row r="119" spans="1:253" ht="25.5">
      <c r="A119" s="647"/>
      <c r="B119" s="648" t="s">
        <v>1788</v>
      </c>
      <c r="C119" s="639" t="s">
        <v>1658</v>
      </c>
      <c r="D119" s="640">
        <v>5000</v>
      </c>
      <c r="E119" s="641">
        <v>0.57999999999999996</v>
      </c>
      <c r="F119" s="642">
        <f t="shared" si="29"/>
        <v>2900</v>
      </c>
      <c r="G119" s="642">
        <f t="shared" si="30"/>
        <v>2100</v>
      </c>
      <c r="H119" s="643">
        <f t="shared" si="18"/>
        <v>0</v>
      </c>
      <c r="I119" s="642">
        <f t="shared" si="31"/>
        <v>2100</v>
      </c>
      <c r="J119" s="643">
        <v>0.1</v>
      </c>
      <c r="K119" s="644">
        <v>0.8</v>
      </c>
      <c r="L119" s="645">
        <f t="shared" si="20"/>
        <v>210</v>
      </c>
      <c r="M119" s="642">
        <f t="shared" si="21"/>
        <v>1680</v>
      </c>
      <c r="N119" s="642">
        <f t="shared" si="22"/>
        <v>210</v>
      </c>
      <c r="O119" s="639"/>
    </row>
    <row r="120" spans="1:253">
      <c r="A120" s="647"/>
      <c r="B120" s="648" t="s">
        <v>1789</v>
      </c>
      <c r="C120" s="639" t="s">
        <v>1658</v>
      </c>
      <c r="D120" s="640">
        <v>5000</v>
      </c>
      <c r="E120" s="641">
        <v>0.57999999999999996</v>
      </c>
      <c r="F120" s="642">
        <f t="shared" si="29"/>
        <v>2900</v>
      </c>
      <c r="G120" s="642">
        <f t="shared" si="30"/>
        <v>2100</v>
      </c>
      <c r="H120" s="643">
        <f t="shared" si="18"/>
        <v>0</v>
      </c>
      <c r="I120" s="642">
        <f t="shared" si="31"/>
        <v>2100</v>
      </c>
      <c r="J120" s="643">
        <v>0.1</v>
      </c>
      <c r="K120" s="644">
        <v>0.8</v>
      </c>
      <c r="L120" s="645">
        <f t="shared" si="20"/>
        <v>210</v>
      </c>
      <c r="M120" s="642">
        <f t="shared" si="21"/>
        <v>1680</v>
      </c>
      <c r="N120" s="642">
        <f t="shared" si="22"/>
        <v>210</v>
      </c>
      <c r="O120" s="639" t="s">
        <v>1709</v>
      </c>
    </row>
    <row r="121" spans="1:253" ht="13.5">
      <c r="A121" s="649"/>
      <c r="B121" s="650" t="s">
        <v>1749</v>
      </c>
      <c r="C121" s="639" t="s">
        <v>1658</v>
      </c>
      <c r="D121" s="651">
        <v>0</v>
      </c>
      <c r="E121" s="652"/>
      <c r="F121" s="653">
        <f t="shared" si="29"/>
        <v>0</v>
      </c>
      <c r="G121" s="653">
        <f t="shared" si="30"/>
        <v>0</v>
      </c>
      <c r="H121" s="643">
        <f t="shared" si="18"/>
        <v>0</v>
      </c>
      <c r="I121" s="653">
        <f t="shared" si="31"/>
        <v>0</v>
      </c>
      <c r="J121" s="654">
        <v>0.1</v>
      </c>
      <c r="K121" s="655">
        <v>0.7</v>
      </c>
      <c r="L121" s="645">
        <f t="shared" si="20"/>
        <v>0</v>
      </c>
      <c r="M121" s="642">
        <f t="shared" si="21"/>
        <v>0</v>
      </c>
      <c r="N121" s="642">
        <f t="shared" si="22"/>
        <v>0</v>
      </c>
      <c r="O121" s="656" t="s">
        <v>1738</v>
      </c>
      <c r="P121" s="657"/>
      <c r="Q121" s="657"/>
      <c r="R121" s="657"/>
      <c r="S121" s="657"/>
      <c r="T121" s="657"/>
      <c r="U121" s="657"/>
      <c r="V121" s="657"/>
      <c r="W121" s="657"/>
      <c r="X121" s="657"/>
      <c r="Y121" s="657"/>
      <c r="Z121" s="657"/>
      <c r="AA121" s="657"/>
      <c r="AB121" s="657"/>
      <c r="AC121" s="657"/>
      <c r="AD121" s="657"/>
      <c r="AE121" s="657"/>
      <c r="AF121" s="657"/>
      <c r="AG121" s="657"/>
      <c r="AH121" s="657"/>
      <c r="AI121" s="657"/>
      <c r="AJ121" s="657"/>
      <c r="AK121" s="657"/>
      <c r="AL121" s="657"/>
      <c r="AM121" s="657"/>
      <c r="AN121" s="657"/>
      <c r="AO121" s="657"/>
      <c r="AP121" s="657"/>
      <c r="AQ121" s="657"/>
      <c r="AR121" s="657"/>
      <c r="AS121" s="657"/>
      <c r="AT121" s="657"/>
      <c r="AU121" s="657"/>
      <c r="AV121" s="657"/>
      <c r="AW121" s="657"/>
      <c r="AX121" s="657"/>
      <c r="AY121" s="657"/>
      <c r="AZ121" s="657"/>
      <c r="BA121" s="657"/>
      <c r="BB121" s="657"/>
      <c r="BC121" s="657"/>
      <c r="BD121" s="657"/>
      <c r="BE121" s="657"/>
      <c r="BF121" s="657"/>
      <c r="BG121" s="657"/>
      <c r="BH121" s="657"/>
      <c r="BI121" s="657"/>
      <c r="BJ121" s="657"/>
      <c r="BK121" s="657"/>
      <c r="BL121" s="657"/>
      <c r="BM121" s="657"/>
      <c r="BN121" s="657"/>
      <c r="BO121" s="657"/>
      <c r="BP121" s="657"/>
      <c r="BQ121" s="657"/>
      <c r="BR121" s="657"/>
      <c r="BS121" s="657"/>
      <c r="BT121" s="657"/>
      <c r="BU121" s="657"/>
      <c r="BV121" s="657"/>
      <c r="BW121" s="657"/>
      <c r="BX121" s="657"/>
      <c r="BY121" s="657"/>
      <c r="BZ121" s="657"/>
      <c r="CA121" s="657"/>
      <c r="CB121" s="657"/>
      <c r="CC121" s="657"/>
      <c r="CD121" s="657"/>
      <c r="CE121" s="657"/>
      <c r="CF121" s="657"/>
      <c r="CG121" s="657"/>
      <c r="CH121" s="657"/>
      <c r="CI121" s="657"/>
      <c r="CJ121" s="657"/>
      <c r="CK121" s="657"/>
      <c r="CL121" s="657"/>
      <c r="CM121" s="657"/>
      <c r="CN121" s="657"/>
      <c r="CO121" s="657"/>
      <c r="CP121" s="657"/>
      <c r="CQ121" s="657"/>
      <c r="CR121" s="657"/>
      <c r="CS121" s="657"/>
      <c r="CT121" s="657"/>
      <c r="CU121" s="657"/>
      <c r="CV121" s="657"/>
      <c r="CW121" s="657"/>
      <c r="CX121" s="657"/>
      <c r="CY121" s="657"/>
      <c r="CZ121" s="657"/>
      <c r="DA121" s="657"/>
      <c r="DB121" s="657"/>
      <c r="DC121" s="657"/>
      <c r="DD121" s="657"/>
      <c r="DE121" s="657"/>
      <c r="DF121" s="657"/>
      <c r="DG121" s="657"/>
      <c r="DH121" s="657"/>
      <c r="DI121" s="657"/>
      <c r="DJ121" s="657"/>
      <c r="DK121" s="657"/>
      <c r="DL121" s="657"/>
      <c r="DM121" s="657"/>
      <c r="DN121" s="657"/>
      <c r="DO121" s="657"/>
      <c r="DP121" s="657"/>
      <c r="DQ121" s="657"/>
      <c r="DR121" s="657"/>
      <c r="DS121" s="657"/>
      <c r="DT121" s="657"/>
      <c r="DU121" s="657"/>
      <c r="DV121" s="657"/>
      <c r="DW121" s="657"/>
      <c r="DX121" s="657"/>
      <c r="DY121" s="657"/>
      <c r="DZ121" s="657"/>
      <c r="EA121" s="657"/>
      <c r="EB121" s="657"/>
      <c r="EC121" s="657"/>
      <c r="ED121" s="657"/>
      <c r="EE121" s="657"/>
      <c r="EF121" s="657"/>
      <c r="EG121" s="657"/>
      <c r="EH121" s="657"/>
      <c r="EI121" s="657"/>
      <c r="EJ121" s="657"/>
      <c r="EK121" s="657"/>
      <c r="EL121" s="657"/>
      <c r="EM121" s="657"/>
      <c r="EN121" s="657"/>
      <c r="EO121" s="657"/>
      <c r="EP121" s="657"/>
      <c r="EQ121" s="657"/>
      <c r="ER121" s="657"/>
      <c r="ES121" s="657"/>
      <c r="ET121" s="657"/>
      <c r="EU121" s="657"/>
      <c r="EV121" s="657"/>
      <c r="EW121" s="657"/>
      <c r="EX121" s="657"/>
      <c r="EY121" s="657"/>
      <c r="EZ121" s="657"/>
      <c r="FA121" s="657"/>
      <c r="FB121" s="657"/>
      <c r="FC121" s="657"/>
      <c r="FD121" s="657"/>
      <c r="FE121" s="657"/>
      <c r="FF121" s="657"/>
      <c r="FG121" s="657"/>
      <c r="FH121" s="657"/>
      <c r="FI121" s="657"/>
      <c r="FJ121" s="657"/>
      <c r="FK121" s="657"/>
      <c r="FL121" s="657"/>
      <c r="FM121" s="657"/>
      <c r="FN121" s="657"/>
      <c r="FO121" s="657"/>
      <c r="FP121" s="657"/>
      <c r="FQ121" s="657"/>
      <c r="FR121" s="657"/>
      <c r="FS121" s="657"/>
      <c r="FT121" s="657"/>
      <c r="FU121" s="657"/>
      <c r="FV121" s="657"/>
      <c r="FW121" s="657"/>
      <c r="FX121" s="657"/>
      <c r="FY121" s="657"/>
      <c r="FZ121" s="657"/>
      <c r="GA121" s="657"/>
      <c r="GB121" s="657"/>
      <c r="GC121" s="657"/>
      <c r="GD121" s="657"/>
      <c r="GE121" s="657"/>
      <c r="GF121" s="657"/>
      <c r="GG121" s="657"/>
      <c r="GH121" s="657"/>
      <c r="GI121" s="657"/>
      <c r="GJ121" s="657"/>
      <c r="GK121" s="657"/>
      <c r="GL121" s="657"/>
      <c r="GM121" s="657"/>
      <c r="GN121" s="657"/>
      <c r="GO121" s="657"/>
      <c r="GP121" s="657"/>
      <c r="GQ121" s="657"/>
      <c r="GR121" s="657"/>
      <c r="GS121" s="657"/>
      <c r="GT121" s="657"/>
      <c r="GU121" s="657"/>
      <c r="GV121" s="657"/>
      <c r="GW121" s="657"/>
      <c r="GX121" s="657"/>
      <c r="GY121" s="657"/>
      <c r="GZ121" s="657"/>
      <c r="HA121" s="657"/>
      <c r="HB121" s="657"/>
      <c r="HC121" s="657"/>
      <c r="HD121" s="657"/>
      <c r="HE121" s="657"/>
      <c r="HF121" s="657"/>
      <c r="HG121" s="657"/>
      <c r="HH121" s="657"/>
      <c r="HI121" s="657"/>
      <c r="HJ121" s="657"/>
      <c r="HK121" s="657"/>
      <c r="HL121" s="657"/>
      <c r="HM121" s="657"/>
      <c r="HN121" s="657"/>
      <c r="HO121" s="657"/>
      <c r="HP121" s="657"/>
      <c r="HQ121" s="657"/>
      <c r="HR121" s="657"/>
      <c r="HS121" s="657"/>
      <c r="HT121" s="657"/>
      <c r="HU121" s="657"/>
      <c r="HV121" s="657"/>
      <c r="HW121" s="657"/>
      <c r="HX121" s="657"/>
      <c r="HY121" s="657"/>
      <c r="HZ121" s="657"/>
      <c r="IA121" s="657"/>
      <c r="IB121" s="657"/>
      <c r="IC121" s="657"/>
      <c r="ID121" s="657"/>
      <c r="IE121" s="657"/>
      <c r="IF121" s="657"/>
      <c r="IG121" s="657"/>
      <c r="IH121" s="657"/>
      <c r="II121" s="657"/>
      <c r="IJ121" s="657"/>
      <c r="IK121" s="657"/>
      <c r="IL121" s="657"/>
      <c r="IM121" s="657"/>
      <c r="IN121" s="657"/>
      <c r="IO121" s="657"/>
      <c r="IP121" s="657"/>
      <c r="IQ121" s="657"/>
      <c r="IR121" s="657"/>
      <c r="IS121" s="657"/>
    </row>
    <row r="122" spans="1:253">
      <c r="A122" s="623" t="s">
        <v>556</v>
      </c>
      <c r="B122" s="624" t="s">
        <v>1791</v>
      </c>
      <c r="C122" s="634"/>
      <c r="D122" s="635"/>
      <c r="E122" s="627"/>
      <c r="F122" s="635"/>
      <c r="G122" s="635"/>
      <c r="H122" s="629"/>
      <c r="I122" s="635"/>
      <c r="J122" s="629"/>
      <c r="K122" s="629"/>
      <c r="L122" s="635"/>
      <c r="M122" s="635"/>
      <c r="N122" s="635"/>
      <c r="O122" s="62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6"/>
      <c r="AL122" s="636"/>
      <c r="AM122" s="636"/>
      <c r="AN122" s="636"/>
      <c r="AO122" s="636"/>
      <c r="AP122" s="636"/>
      <c r="AQ122" s="636"/>
      <c r="AR122" s="636"/>
      <c r="AS122" s="636"/>
      <c r="AT122" s="636"/>
      <c r="AU122" s="636"/>
      <c r="AV122" s="636"/>
      <c r="AW122" s="636"/>
      <c r="AX122" s="636"/>
      <c r="AY122" s="636"/>
      <c r="AZ122" s="636"/>
      <c r="BA122" s="636"/>
      <c r="BB122" s="636"/>
      <c r="BC122" s="636"/>
      <c r="BD122" s="636"/>
      <c r="BE122" s="636"/>
      <c r="BF122" s="636"/>
      <c r="BG122" s="636"/>
      <c r="BH122" s="636"/>
      <c r="BI122" s="636"/>
      <c r="BJ122" s="636"/>
      <c r="BK122" s="636"/>
      <c r="BL122" s="636"/>
      <c r="BM122" s="636"/>
      <c r="BN122" s="636"/>
      <c r="BO122" s="636"/>
      <c r="BP122" s="636"/>
      <c r="BQ122" s="636"/>
      <c r="BR122" s="636"/>
      <c r="BS122" s="636"/>
      <c r="BT122" s="636"/>
      <c r="BU122" s="636"/>
      <c r="BV122" s="636"/>
      <c r="BW122" s="636"/>
      <c r="BX122" s="636"/>
      <c r="BY122" s="636"/>
      <c r="BZ122" s="636"/>
      <c r="CA122" s="636"/>
      <c r="CB122" s="636"/>
      <c r="CC122" s="636"/>
      <c r="CD122" s="636"/>
      <c r="CE122" s="636"/>
      <c r="CF122" s="636"/>
      <c r="CG122" s="636"/>
      <c r="CH122" s="636"/>
      <c r="CI122" s="636"/>
      <c r="CJ122" s="636"/>
      <c r="CK122" s="636"/>
      <c r="CL122" s="636"/>
      <c r="CM122" s="636"/>
      <c r="CN122" s="636"/>
      <c r="CO122" s="636"/>
      <c r="CP122" s="636"/>
      <c r="CQ122" s="636"/>
      <c r="CR122" s="636"/>
      <c r="CS122" s="636"/>
      <c r="CT122" s="636"/>
      <c r="CU122" s="636"/>
      <c r="CV122" s="636"/>
      <c r="CW122" s="636"/>
      <c r="CX122" s="636"/>
      <c r="CY122" s="636"/>
      <c r="CZ122" s="636"/>
      <c r="DA122" s="636"/>
      <c r="DB122" s="636"/>
      <c r="DC122" s="636"/>
      <c r="DD122" s="636"/>
      <c r="DE122" s="636"/>
      <c r="DF122" s="636"/>
      <c r="DG122" s="636"/>
      <c r="DH122" s="636"/>
      <c r="DI122" s="636"/>
      <c r="DJ122" s="636"/>
      <c r="DK122" s="636"/>
      <c r="DL122" s="636"/>
      <c r="DM122" s="636"/>
      <c r="DN122" s="636"/>
      <c r="DO122" s="636"/>
      <c r="DP122" s="636"/>
      <c r="DQ122" s="636"/>
      <c r="DR122" s="636"/>
      <c r="DS122" s="636"/>
      <c r="DT122" s="636"/>
      <c r="DU122" s="636"/>
      <c r="DV122" s="636"/>
      <c r="DW122" s="636"/>
      <c r="DX122" s="636"/>
      <c r="DY122" s="636"/>
      <c r="DZ122" s="636"/>
      <c r="EA122" s="636"/>
      <c r="EB122" s="636"/>
      <c r="EC122" s="636"/>
      <c r="ED122" s="636"/>
      <c r="EE122" s="636"/>
      <c r="EF122" s="636"/>
      <c r="EG122" s="636"/>
      <c r="EH122" s="636"/>
      <c r="EI122" s="636"/>
      <c r="EJ122" s="636"/>
      <c r="EK122" s="636"/>
      <c r="EL122" s="636"/>
      <c r="EM122" s="636"/>
      <c r="EN122" s="636"/>
      <c r="EO122" s="636"/>
      <c r="EP122" s="636"/>
      <c r="EQ122" s="636"/>
      <c r="ER122" s="636"/>
      <c r="ES122" s="636"/>
      <c r="ET122" s="636"/>
      <c r="EU122" s="636"/>
      <c r="EV122" s="636"/>
      <c r="EW122" s="636"/>
      <c r="EX122" s="636"/>
      <c r="EY122" s="636"/>
      <c r="EZ122" s="636"/>
      <c r="FA122" s="636"/>
      <c r="FB122" s="636"/>
      <c r="FC122" s="636"/>
      <c r="FD122" s="636"/>
      <c r="FE122" s="636"/>
      <c r="FF122" s="636"/>
      <c r="FG122" s="636"/>
      <c r="FH122" s="636"/>
      <c r="FI122" s="636"/>
      <c r="FJ122" s="636"/>
      <c r="FK122" s="636"/>
      <c r="FL122" s="636"/>
      <c r="FM122" s="636"/>
      <c r="FN122" s="636"/>
      <c r="FO122" s="636"/>
      <c r="FP122" s="636"/>
      <c r="FQ122" s="636"/>
      <c r="FR122" s="636"/>
      <c r="FS122" s="636"/>
      <c r="FT122" s="636"/>
      <c r="FU122" s="636"/>
      <c r="FV122" s="636"/>
      <c r="FW122" s="636"/>
      <c r="FX122" s="636"/>
      <c r="FY122" s="636"/>
      <c r="FZ122" s="636"/>
      <c r="GA122" s="636"/>
      <c r="GB122" s="636"/>
      <c r="GC122" s="636"/>
      <c r="GD122" s="636"/>
      <c r="GE122" s="636"/>
      <c r="GF122" s="636"/>
      <c r="GG122" s="636"/>
      <c r="GH122" s="636"/>
      <c r="GI122" s="636"/>
      <c r="GJ122" s="636"/>
      <c r="GK122" s="636"/>
      <c r="GL122" s="636"/>
      <c r="GM122" s="636"/>
      <c r="GN122" s="636"/>
      <c r="GO122" s="636"/>
      <c r="GP122" s="636"/>
      <c r="GQ122" s="636"/>
      <c r="GR122" s="636"/>
      <c r="GS122" s="636"/>
      <c r="GT122" s="636"/>
      <c r="GU122" s="636"/>
      <c r="GV122" s="636"/>
      <c r="GW122" s="636"/>
      <c r="GX122" s="636"/>
      <c r="GY122" s="636"/>
      <c r="GZ122" s="636"/>
      <c r="HA122" s="636"/>
      <c r="HB122" s="636"/>
      <c r="HC122" s="636"/>
      <c r="HD122" s="636"/>
      <c r="HE122" s="636"/>
      <c r="HF122" s="636"/>
      <c r="HG122" s="636"/>
      <c r="HH122" s="636"/>
      <c r="HI122" s="636"/>
      <c r="HJ122" s="636"/>
      <c r="HK122" s="636"/>
      <c r="HL122" s="636"/>
      <c r="HM122" s="636"/>
      <c r="HN122" s="636"/>
      <c r="HO122" s="636"/>
      <c r="HP122" s="636"/>
      <c r="HQ122" s="636"/>
      <c r="HR122" s="636"/>
      <c r="HS122" s="636"/>
      <c r="HT122" s="636"/>
      <c r="HU122" s="636"/>
      <c r="HV122" s="636"/>
      <c r="HW122" s="636"/>
      <c r="HX122" s="636"/>
      <c r="HY122" s="636"/>
      <c r="HZ122" s="636"/>
      <c r="IA122" s="636"/>
      <c r="IB122" s="636"/>
      <c r="IC122" s="636"/>
      <c r="ID122" s="636"/>
      <c r="IE122" s="636"/>
      <c r="IF122" s="636"/>
      <c r="IG122" s="636"/>
      <c r="IH122" s="636"/>
      <c r="II122" s="636"/>
      <c r="IJ122" s="636"/>
      <c r="IK122" s="636"/>
      <c r="IL122" s="636"/>
      <c r="IM122" s="636"/>
      <c r="IN122" s="636"/>
      <c r="IO122" s="636"/>
      <c r="IP122" s="636"/>
      <c r="IQ122" s="636"/>
      <c r="IR122" s="636"/>
      <c r="IS122" s="636"/>
    </row>
    <row r="123" spans="1:253">
      <c r="A123" s="647"/>
      <c r="B123" s="648" t="s">
        <v>1805</v>
      </c>
      <c r="C123" s="639" t="s">
        <v>1662</v>
      </c>
      <c r="D123" s="640">
        <v>1000</v>
      </c>
      <c r="E123" s="641">
        <v>0.48599999999999999</v>
      </c>
      <c r="F123" s="642">
        <f t="shared" si="29"/>
        <v>486</v>
      </c>
      <c r="G123" s="642">
        <f t="shared" si="30"/>
        <v>514</v>
      </c>
      <c r="H123" s="644">
        <f t="shared" si="18"/>
        <v>0</v>
      </c>
      <c r="I123" s="642">
        <f t="shared" si="31"/>
        <v>514</v>
      </c>
      <c r="J123" s="643">
        <v>0.1</v>
      </c>
      <c r="K123" s="644">
        <v>0.6</v>
      </c>
      <c r="L123" s="645">
        <f t="shared" si="20"/>
        <v>51.400000000000006</v>
      </c>
      <c r="M123" s="642">
        <f t="shared" si="21"/>
        <v>308.39999999999998</v>
      </c>
      <c r="N123" s="642">
        <f t="shared" si="22"/>
        <v>154.20000000000005</v>
      </c>
      <c r="O123" s="639"/>
    </row>
    <row r="124" spans="1:253">
      <c r="A124" s="647"/>
      <c r="B124" s="648" t="s">
        <v>1806</v>
      </c>
      <c r="C124" s="639" t="s">
        <v>1662</v>
      </c>
      <c r="D124" s="642">
        <v>7000</v>
      </c>
      <c r="E124" s="659">
        <f>E123</f>
        <v>0.48599999999999999</v>
      </c>
      <c r="F124" s="642">
        <f t="shared" si="29"/>
        <v>3402</v>
      </c>
      <c r="G124" s="642">
        <f t="shared" si="30"/>
        <v>3598</v>
      </c>
      <c r="H124" s="643">
        <f t="shared" si="18"/>
        <v>0</v>
      </c>
      <c r="I124" s="642">
        <f t="shared" si="31"/>
        <v>3598</v>
      </c>
      <c r="J124" s="643">
        <v>0.1</v>
      </c>
      <c r="K124" s="643">
        <v>0.8</v>
      </c>
      <c r="L124" s="642">
        <f t="shared" si="20"/>
        <v>359.8</v>
      </c>
      <c r="M124" s="642">
        <f t="shared" si="21"/>
        <v>2878.4</v>
      </c>
      <c r="N124" s="642">
        <f t="shared" si="22"/>
        <v>359.79999999999973</v>
      </c>
      <c r="O124" s="628"/>
    </row>
    <row r="125" spans="1:253">
      <c r="A125" s="623" t="s">
        <v>556</v>
      </c>
      <c r="B125" s="624" t="s">
        <v>1792</v>
      </c>
      <c r="C125" s="634"/>
      <c r="D125" s="635"/>
      <c r="E125" s="627"/>
      <c r="F125" s="635"/>
      <c r="G125" s="635"/>
      <c r="H125" s="629"/>
      <c r="I125" s="635"/>
      <c r="J125" s="629"/>
      <c r="K125" s="629"/>
      <c r="L125" s="635"/>
      <c r="M125" s="635"/>
      <c r="N125" s="635"/>
      <c r="O125" s="626"/>
    </row>
    <row r="126" spans="1:253">
      <c r="A126" s="647"/>
      <c r="B126" s="648" t="s">
        <v>1805</v>
      </c>
      <c r="C126" s="639" t="s">
        <v>1663</v>
      </c>
      <c r="D126" s="640">
        <v>1500</v>
      </c>
      <c r="E126" s="641">
        <v>0.24</v>
      </c>
      <c r="F126" s="642">
        <f>D126*E126</f>
        <v>360</v>
      </c>
      <c r="G126" s="642">
        <f>D126-F126</f>
        <v>1140</v>
      </c>
      <c r="H126" s="644">
        <f t="shared" si="18"/>
        <v>0</v>
      </c>
      <c r="I126" s="642">
        <f>G126-G126*H126</f>
        <v>1140</v>
      </c>
      <c r="J126" s="643">
        <v>0.1</v>
      </c>
      <c r="K126" s="643">
        <v>0.6</v>
      </c>
      <c r="L126" s="645">
        <f t="shared" si="20"/>
        <v>114</v>
      </c>
      <c r="M126" s="642">
        <f t="shared" si="21"/>
        <v>684</v>
      </c>
      <c r="N126" s="642">
        <f t="shared" si="22"/>
        <v>342</v>
      </c>
      <c r="O126" s="639"/>
    </row>
    <row r="127" spans="1:253">
      <c r="A127" s="647"/>
      <c r="B127" s="648" t="s">
        <v>1806</v>
      </c>
      <c r="C127" s="639" t="s">
        <v>1663</v>
      </c>
      <c r="D127" s="640">
        <v>1000</v>
      </c>
      <c r="E127" s="659">
        <f>E126</f>
        <v>0.24</v>
      </c>
      <c r="F127" s="642">
        <f>D127*E127</f>
        <v>240</v>
      </c>
      <c r="G127" s="642">
        <f>D127-F127</f>
        <v>760</v>
      </c>
      <c r="H127" s="643">
        <f t="shared" si="18"/>
        <v>0</v>
      </c>
      <c r="I127" s="642">
        <f>G127-G127*H127</f>
        <v>760</v>
      </c>
      <c r="J127" s="643">
        <v>0.1</v>
      </c>
      <c r="K127" s="643">
        <v>0.8</v>
      </c>
      <c r="L127" s="645">
        <f t="shared" si="20"/>
        <v>76</v>
      </c>
      <c r="M127" s="642">
        <f t="shared" si="21"/>
        <v>608</v>
      </c>
      <c r="N127" s="642">
        <f t="shared" si="22"/>
        <v>76</v>
      </c>
      <c r="O127" s="639"/>
    </row>
    <row r="128" spans="1:253">
      <c r="A128" s="623" t="s">
        <v>556</v>
      </c>
      <c r="B128" s="624" t="s">
        <v>1790</v>
      </c>
      <c r="C128" s="634" t="s">
        <v>1656</v>
      </c>
      <c r="D128" s="635">
        <v>20000</v>
      </c>
      <c r="E128" s="627">
        <v>0.5</v>
      </c>
      <c r="F128" s="635">
        <f>D128*E128</f>
        <v>10000</v>
      </c>
      <c r="G128" s="635">
        <f>D128-F128</f>
        <v>10000</v>
      </c>
      <c r="H128" s="629">
        <f>H121</f>
        <v>0</v>
      </c>
      <c r="I128" s="635">
        <f>G128-G128*H128</f>
        <v>10000</v>
      </c>
      <c r="J128" s="629">
        <v>0.1</v>
      </c>
      <c r="K128" s="629">
        <v>0.7</v>
      </c>
      <c r="L128" s="635">
        <f>I128*J128</f>
        <v>1000</v>
      </c>
      <c r="M128" s="635">
        <f>I128*K128</f>
        <v>7000</v>
      </c>
      <c r="N128" s="635">
        <f>I128-L128-M128</f>
        <v>2000</v>
      </c>
      <c r="O128" s="62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tabSelected="1" zoomScale="70" zoomScaleNormal="70" workbookViewId="0">
      <selection activeCell="H16" sqref="H16"/>
    </sheetView>
  </sheetViews>
  <sheetFormatPr defaultRowHeight="15.75"/>
  <cols>
    <col min="1" max="1" width="6.5" style="550" customWidth="1"/>
    <col min="2" max="2" width="35.125" style="551" customWidth="1"/>
    <col min="3" max="4" width="17.5" style="552" customWidth="1"/>
    <col min="5" max="5" width="17.5" style="553" customWidth="1"/>
    <col min="6" max="199" width="9" style="116"/>
    <col min="200" max="200" width="3.625" style="116" customWidth="1"/>
    <col min="201" max="201" width="51.25" style="116" customWidth="1"/>
    <col min="202" max="202" width="0" style="116" hidden="1" customWidth="1"/>
    <col min="203" max="203" width="13.125" style="116" customWidth="1"/>
    <col min="204" max="204" width="11.625" style="116" customWidth="1"/>
    <col min="205" max="205" width="11" style="116" customWidth="1"/>
    <col min="206" max="206" width="11.875" style="116" customWidth="1"/>
    <col min="207" max="207" width="10.5" style="116" customWidth="1"/>
    <col min="208" max="208" width="10.625" style="116" customWidth="1"/>
    <col min="209" max="209" width="10" style="116" customWidth="1"/>
    <col min="210" max="210" width="0" style="116" hidden="1" customWidth="1"/>
    <col min="211" max="211" width="11.75" style="116" customWidth="1"/>
    <col min="212" max="212" width="21" style="116" customWidth="1"/>
    <col min="213" max="213" width="10.75" style="116" customWidth="1"/>
    <col min="214" max="214" width="11.125" style="116" bestFit="1" customWidth="1"/>
    <col min="215" max="215" width="11.125" style="116" customWidth="1"/>
    <col min="216" max="216" width="10.625" style="116" customWidth="1"/>
    <col min="217" max="217" width="10.875" style="116" customWidth="1"/>
    <col min="218" max="218" width="11.125" style="116" customWidth="1"/>
    <col min="219" max="455" width="9" style="116"/>
    <col min="456" max="456" width="3.625" style="116" customWidth="1"/>
    <col min="457" max="457" width="51.25" style="116" customWidth="1"/>
    <col min="458" max="458" width="0" style="116" hidden="1" customWidth="1"/>
    <col min="459" max="459" width="13.125" style="116" customWidth="1"/>
    <col min="460" max="460" width="11.625" style="116" customWidth="1"/>
    <col min="461" max="461" width="11" style="116" customWidth="1"/>
    <col min="462" max="462" width="11.875" style="116" customWidth="1"/>
    <col min="463" max="463" width="10.5" style="116" customWidth="1"/>
    <col min="464" max="464" width="10.625" style="116" customWidth="1"/>
    <col min="465" max="465" width="10" style="116" customWidth="1"/>
    <col min="466" max="466" width="0" style="116" hidden="1" customWidth="1"/>
    <col min="467" max="467" width="11.75" style="116" customWidth="1"/>
    <col min="468" max="468" width="21" style="116" customWidth="1"/>
    <col min="469" max="469" width="10.75" style="116" customWidth="1"/>
    <col min="470" max="470" width="11.125" style="116" bestFit="1" customWidth="1"/>
    <col min="471" max="471" width="11.125" style="116" customWidth="1"/>
    <col min="472" max="472" width="10.625" style="116" customWidth="1"/>
    <col min="473" max="473" width="10.875" style="116" customWidth="1"/>
    <col min="474" max="474" width="11.125" style="116" customWidth="1"/>
    <col min="475" max="711" width="9" style="116"/>
    <col min="712" max="712" width="3.625" style="116" customWidth="1"/>
    <col min="713" max="713" width="51.25" style="116" customWidth="1"/>
    <col min="714" max="714" width="0" style="116" hidden="1" customWidth="1"/>
    <col min="715" max="715" width="13.125" style="116" customWidth="1"/>
    <col min="716" max="716" width="11.625" style="116" customWidth="1"/>
    <col min="717" max="717" width="11" style="116" customWidth="1"/>
    <col min="718" max="718" width="11.875" style="116" customWidth="1"/>
    <col min="719" max="719" width="10.5" style="116" customWidth="1"/>
    <col min="720" max="720" width="10.625" style="116" customWidth="1"/>
    <col min="721" max="721" width="10" style="116" customWidth="1"/>
    <col min="722" max="722" width="0" style="116" hidden="1" customWidth="1"/>
    <col min="723" max="723" width="11.75" style="116" customWidth="1"/>
    <col min="724" max="724" width="21" style="116" customWidth="1"/>
    <col min="725" max="725" width="10.75" style="116" customWidth="1"/>
    <col min="726" max="726" width="11.125" style="116" bestFit="1" customWidth="1"/>
    <col min="727" max="727" width="11.125" style="116" customWidth="1"/>
    <col min="728" max="728" width="10.625" style="116" customWidth="1"/>
    <col min="729" max="729" width="10.875" style="116" customWidth="1"/>
    <col min="730" max="730" width="11.125" style="116" customWidth="1"/>
    <col min="731" max="967" width="9" style="116"/>
    <col min="968" max="968" width="3.625" style="116" customWidth="1"/>
    <col min="969" max="969" width="51.25" style="116" customWidth="1"/>
    <col min="970" max="970" width="0" style="116" hidden="1" customWidth="1"/>
    <col min="971" max="971" width="13.125" style="116" customWidth="1"/>
    <col min="972" max="972" width="11.625" style="116" customWidth="1"/>
    <col min="973" max="973" width="11" style="116" customWidth="1"/>
    <col min="974" max="974" width="11.875" style="116" customWidth="1"/>
    <col min="975" max="975" width="10.5" style="116" customWidth="1"/>
    <col min="976" max="976" width="10.625" style="116" customWidth="1"/>
    <col min="977" max="977" width="10" style="116" customWidth="1"/>
    <col min="978" max="978" width="0" style="116" hidden="1" customWidth="1"/>
    <col min="979" max="979" width="11.75" style="116" customWidth="1"/>
    <col min="980" max="980" width="21" style="116" customWidth="1"/>
    <col min="981" max="981" width="10.75" style="116" customWidth="1"/>
    <col min="982" max="982" width="11.125" style="116" bestFit="1" customWidth="1"/>
    <col min="983" max="983" width="11.125" style="116" customWidth="1"/>
    <col min="984" max="984" width="10.625" style="116" customWidth="1"/>
    <col min="985" max="985" width="10.875" style="116" customWidth="1"/>
    <col min="986" max="986" width="11.125" style="116" customWidth="1"/>
    <col min="987" max="1223" width="9" style="116"/>
    <col min="1224" max="1224" width="3.625" style="116" customWidth="1"/>
    <col min="1225" max="1225" width="51.25" style="116" customWidth="1"/>
    <col min="1226" max="1226" width="0" style="116" hidden="1" customWidth="1"/>
    <col min="1227" max="1227" width="13.125" style="116" customWidth="1"/>
    <col min="1228" max="1228" width="11.625" style="116" customWidth="1"/>
    <col min="1229" max="1229" width="11" style="116" customWidth="1"/>
    <col min="1230" max="1230" width="11.875" style="116" customWidth="1"/>
    <col min="1231" max="1231" width="10.5" style="116" customWidth="1"/>
    <col min="1232" max="1232" width="10.625" style="116" customWidth="1"/>
    <col min="1233" max="1233" width="10" style="116" customWidth="1"/>
    <col min="1234" max="1234" width="0" style="116" hidden="1" customWidth="1"/>
    <col min="1235" max="1235" width="11.75" style="116" customWidth="1"/>
    <col min="1236" max="1236" width="21" style="116" customWidth="1"/>
    <col min="1237" max="1237" width="10.75" style="116" customWidth="1"/>
    <col min="1238" max="1238" width="11.125" style="116" bestFit="1" customWidth="1"/>
    <col min="1239" max="1239" width="11.125" style="116" customWidth="1"/>
    <col min="1240" max="1240" width="10.625" style="116" customWidth="1"/>
    <col min="1241" max="1241" width="10.875" style="116" customWidth="1"/>
    <col min="1242" max="1242" width="11.125" style="116" customWidth="1"/>
    <col min="1243" max="1479" width="9" style="116"/>
    <col min="1480" max="1480" width="3.625" style="116" customWidth="1"/>
    <col min="1481" max="1481" width="51.25" style="116" customWidth="1"/>
    <col min="1482" max="1482" width="0" style="116" hidden="1" customWidth="1"/>
    <col min="1483" max="1483" width="13.125" style="116" customWidth="1"/>
    <col min="1484" max="1484" width="11.625" style="116" customWidth="1"/>
    <col min="1485" max="1485" width="11" style="116" customWidth="1"/>
    <col min="1486" max="1486" width="11.875" style="116" customWidth="1"/>
    <col min="1487" max="1487" width="10.5" style="116" customWidth="1"/>
    <col min="1488" max="1488" width="10.625" style="116" customWidth="1"/>
    <col min="1489" max="1489" width="10" style="116" customWidth="1"/>
    <col min="1490" max="1490" width="0" style="116" hidden="1" customWidth="1"/>
    <col min="1491" max="1491" width="11.75" style="116" customWidth="1"/>
    <col min="1492" max="1492" width="21" style="116" customWidth="1"/>
    <col min="1493" max="1493" width="10.75" style="116" customWidth="1"/>
    <col min="1494" max="1494" width="11.125" style="116" bestFit="1" customWidth="1"/>
    <col min="1495" max="1495" width="11.125" style="116" customWidth="1"/>
    <col min="1496" max="1496" width="10.625" style="116" customWidth="1"/>
    <col min="1497" max="1497" width="10.875" style="116" customWidth="1"/>
    <col min="1498" max="1498" width="11.125" style="116" customWidth="1"/>
    <col min="1499" max="1735" width="9" style="116"/>
    <col min="1736" max="1736" width="3.625" style="116" customWidth="1"/>
    <col min="1737" max="1737" width="51.25" style="116" customWidth="1"/>
    <col min="1738" max="1738" width="0" style="116" hidden="1" customWidth="1"/>
    <col min="1739" max="1739" width="13.125" style="116" customWidth="1"/>
    <col min="1740" max="1740" width="11.625" style="116" customWidth="1"/>
    <col min="1741" max="1741" width="11" style="116" customWidth="1"/>
    <col min="1742" max="1742" width="11.875" style="116" customWidth="1"/>
    <col min="1743" max="1743" width="10.5" style="116" customWidth="1"/>
    <col min="1744" max="1744" width="10.625" style="116" customWidth="1"/>
    <col min="1745" max="1745" width="10" style="116" customWidth="1"/>
    <col min="1746" max="1746" width="0" style="116" hidden="1" customWidth="1"/>
    <col min="1747" max="1747" width="11.75" style="116" customWidth="1"/>
    <col min="1748" max="1748" width="21" style="116" customWidth="1"/>
    <col min="1749" max="1749" width="10.75" style="116" customWidth="1"/>
    <col min="1750" max="1750" width="11.125" style="116" bestFit="1" customWidth="1"/>
    <col min="1751" max="1751" width="11.125" style="116" customWidth="1"/>
    <col min="1752" max="1752" width="10.625" style="116" customWidth="1"/>
    <col min="1753" max="1753" width="10.875" style="116" customWidth="1"/>
    <col min="1754" max="1754" width="11.125" style="116" customWidth="1"/>
    <col min="1755" max="1991" width="9" style="116"/>
    <col min="1992" max="1992" width="3.625" style="116" customWidth="1"/>
    <col min="1993" max="1993" width="51.25" style="116" customWidth="1"/>
    <col min="1994" max="1994" width="0" style="116" hidden="1" customWidth="1"/>
    <col min="1995" max="1995" width="13.125" style="116" customWidth="1"/>
    <col min="1996" max="1996" width="11.625" style="116" customWidth="1"/>
    <col min="1997" max="1997" width="11" style="116" customWidth="1"/>
    <col min="1998" max="1998" width="11.875" style="116" customWidth="1"/>
    <col min="1999" max="1999" width="10.5" style="116" customWidth="1"/>
    <col min="2000" max="2000" width="10.625" style="116" customWidth="1"/>
    <col min="2001" max="2001" width="10" style="116" customWidth="1"/>
    <col min="2002" max="2002" width="0" style="116" hidden="1" customWidth="1"/>
    <col min="2003" max="2003" width="11.75" style="116" customWidth="1"/>
    <col min="2004" max="2004" width="21" style="116" customWidth="1"/>
    <col min="2005" max="2005" width="10.75" style="116" customWidth="1"/>
    <col min="2006" max="2006" width="11.125" style="116" bestFit="1" customWidth="1"/>
    <col min="2007" max="2007" width="11.125" style="116" customWidth="1"/>
    <col min="2008" max="2008" width="10.625" style="116" customWidth="1"/>
    <col min="2009" max="2009" width="10.875" style="116" customWidth="1"/>
    <col min="2010" max="2010" width="11.125" style="116" customWidth="1"/>
    <col min="2011" max="2247" width="9" style="116"/>
    <col min="2248" max="2248" width="3.625" style="116" customWidth="1"/>
    <col min="2249" max="2249" width="51.25" style="116" customWidth="1"/>
    <col min="2250" max="2250" width="0" style="116" hidden="1" customWidth="1"/>
    <col min="2251" max="2251" width="13.125" style="116" customWidth="1"/>
    <col min="2252" max="2252" width="11.625" style="116" customWidth="1"/>
    <col min="2253" max="2253" width="11" style="116" customWidth="1"/>
    <col min="2254" max="2254" width="11.875" style="116" customWidth="1"/>
    <col min="2255" max="2255" width="10.5" style="116" customWidth="1"/>
    <col min="2256" max="2256" width="10.625" style="116" customWidth="1"/>
    <col min="2257" max="2257" width="10" style="116" customWidth="1"/>
    <col min="2258" max="2258" width="0" style="116" hidden="1" customWidth="1"/>
    <col min="2259" max="2259" width="11.75" style="116" customWidth="1"/>
    <col min="2260" max="2260" width="21" style="116" customWidth="1"/>
    <col min="2261" max="2261" width="10.75" style="116" customWidth="1"/>
    <col min="2262" max="2262" width="11.125" style="116" bestFit="1" customWidth="1"/>
    <col min="2263" max="2263" width="11.125" style="116" customWidth="1"/>
    <col min="2264" max="2264" width="10.625" style="116" customWidth="1"/>
    <col min="2265" max="2265" width="10.875" style="116" customWidth="1"/>
    <col min="2266" max="2266" width="11.125" style="116" customWidth="1"/>
    <col min="2267" max="2503" width="9" style="116"/>
    <col min="2504" max="2504" width="3.625" style="116" customWidth="1"/>
    <col min="2505" max="2505" width="51.25" style="116" customWidth="1"/>
    <col min="2506" max="2506" width="0" style="116" hidden="1" customWidth="1"/>
    <col min="2507" max="2507" width="13.125" style="116" customWidth="1"/>
    <col min="2508" max="2508" width="11.625" style="116" customWidth="1"/>
    <col min="2509" max="2509" width="11" style="116" customWidth="1"/>
    <col min="2510" max="2510" width="11.875" style="116" customWidth="1"/>
    <col min="2511" max="2511" width="10.5" style="116" customWidth="1"/>
    <col min="2512" max="2512" width="10.625" style="116" customWidth="1"/>
    <col min="2513" max="2513" width="10" style="116" customWidth="1"/>
    <col min="2514" max="2514" width="0" style="116" hidden="1" customWidth="1"/>
    <col min="2515" max="2515" width="11.75" style="116" customWidth="1"/>
    <col min="2516" max="2516" width="21" style="116" customWidth="1"/>
    <col min="2517" max="2517" width="10.75" style="116" customWidth="1"/>
    <col min="2518" max="2518" width="11.125" style="116" bestFit="1" customWidth="1"/>
    <col min="2519" max="2519" width="11.125" style="116" customWidth="1"/>
    <col min="2520" max="2520" width="10.625" style="116" customWidth="1"/>
    <col min="2521" max="2521" width="10.875" style="116" customWidth="1"/>
    <col min="2522" max="2522" width="11.125" style="116" customWidth="1"/>
    <col min="2523" max="2759" width="9" style="116"/>
    <col min="2760" max="2760" width="3.625" style="116" customWidth="1"/>
    <col min="2761" max="2761" width="51.25" style="116" customWidth="1"/>
    <col min="2762" max="2762" width="0" style="116" hidden="1" customWidth="1"/>
    <col min="2763" max="2763" width="13.125" style="116" customWidth="1"/>
    <col min="2764" max="2764" width="11.625" style="116" customWidth="1"/>
    <col min="2765" max="2765" width="11" style="116" customWidth="1"/>
    <col min="2766" max="2766" width="11.875" style="116" customWidth="1"/>
    <col min="2767" max="2767" width="10.5" style="116" customWidth="1"/>
    <col min="2768" max="2768" width="10.625" style="116" customWidth="1"/>
    <col min="2769" max="2769" width="10" style="116" customWidth="1"/>
    <col min="2770" max="2770" width="0" style="116" hidden="1" customWidth="1"/>
    <col min="2771" max="2771" width="11.75" style="116" customWidth="1"/>
    <col min="2772" max="2772" width="21" style="116" customWidth="1"/>
    <col min="2773" max="2773" width="10.75" style="116" customWidth="1"/>
    <col min="2774" max="2774" width="11.125" style="116" bestFit="1" customWidth="1"/>
    <col min="2775" max="2775" width="11.125" style="116" customWidth="1"/>
    <col min="2776" max="2776" width="10.625" style="116" customWidth="1"/>
    <col min="2777" max="2777" width="10.875" style="116" customWidth="1"/>
    <col min="2778" max="2778" width="11.125" style="116" customWidth="1"/>
    <col min="2779" max="3015" width="9" style="116"/>
    <col min="3016" max="3016" width="3.625" style="116" customWidth="1"/>
    <col min="3017" max="3017" width="51.25" style="116" customWidth="1"/>
    <col min="3018" max="3018" width="0" style="116" hidden="1" customWidth="1"/>
    <col min="3019" max="3019" width="13.125" style="116" customWidth="1"/>
    <col min="3020" max="3020" width="11.625" style="116" customWidth="1"/>
    <col min="3021" max="3021" width="11" style="116" customWidth="1"/>
    <col min="3022" max="3022" width="11.875" style="116" customWidth="1"/>
    <col min="3023" max="3023" width="10.5" style="116" customWidth="1"/>
    <col min="3024" max="3024" width="10.625" style="116" customWidth="1"/>
    <col min="3025" max="3025" width="10" style="116" customWidth="1"/>
    <col min="3026" max="3026" width="0" style="116" hidden="1" customWidth="1"/>
    <col min="3027" max="3027" width="11.75" style="116" customWidth="1"/>
    <col min="3028" max="3028" width="21" style="116" customWidth="1"/>
    <col min="3029" max="3029" width="10.75" style="116" customWidth="1"/>
    <col min="3030" max="3030" width="11.125" style="116" bestFit="1" customWidth="1"/>
    <col min="3031" max="3031" width="11.125" style="116" customWidth="1"/>
    <col min="3032" max="3032" width="10.625" style="116" customWidth="1"/>
    <col min="3033" max="3033" width="10.875" style="116" customWidth="1"/>
    <col min="3034" max="3034" width="11.125" style="116" customWidth="1"/>
    <col min="3035" max="3271" width="9" style="116"/>
    <col min="3272" max="3272" width="3.625" style="116" customWidth="1"/>
    <col min="3273" max="3273" width="51.25" style="116" customWidth="1"/>
    <col min="3274" max="3274" width="0" style="116" hidden="1" customWidth="1"/>
    <col min="3275" max="3275" width="13.125" style="116" customWidth="1"/>
    <col min="3276" max="3276" width="11.625" style="116" customWidth="1"/>
    <col min="3277" max="3277" width="11" style="116" customWidth="1"/>
    <col min="3278" max="3278" width="11.875" style="116" customWidth="1"/>
    <col min="3279" max="3279" width="10.5" style="116" customWidth="1"/>
    <col min="3280" max="3280" width="10.625" style="116" customWidth="1"/>
    <col min="3281" max="3281" width="10" style="116" customWidth="1"/>
    <col min="3282" max="3282" width="0" style="116" hidden="1" customWidth="1"/>
    <col min="3283" max="3283" width="11.75" style="116" customWidth="1"/>
    <col min="3284" max="3284" width="21" style="116" customWidth="1"/>
    <col min="3285" max="3285" width="10.75" style="116" customWidth="1"/>
    <col min="3286" max="3286" width="11.125" style="116" bestFit="1" customWidth="1"/>
    <col min="3287" max="3287" width="11.125" style="116" customWidth="1"/>
    <col min="3288" max="3288" width="10.625" style="116" customWidth="1"/>
    <col min="3289" max="3289" width="10.875" style="116" customWidth="1"/>
    <col min="3290" max="3290" width="11.125" style="116" customWidth="1"/>
    <col min="3291" max="3527" width="9" style="116"/>
    <col min="3528" max="3528" width="3.625" style="116" customWidth="1"/>
    <col min="3529" max="3529" width="51.25" style="116" customWidth="1"/>
    <col min="3530" max="3530" width="0" style="116" hidden="1" customWidth="1"/>
    <col min="3531" max="3531" width="13.125" style="116" customWidth="1"/>
    <col min="3532" max="3532" width="11.625" style="116" customWidth="1"/>
    <col min="3533" max="3533" width="11" style="116" customWidth="1"/>
    <col min="3534" max="3534" width="11.875" style="116" customWidth="1"/>
    <col min="3535" max="3535" width="10.5" style="116" customWidth="1"/>
    <col min="3536" max="3536" width="10.625" style="116" customWidth="1"/>
    <col min="3537" max="3537" width="10" style="116" customWidth="1"/>
    <col min="3538" max="3538" width="0" style="116" hidden="1" customWidth="1"/>
    <col min="3539" max="3539" width="11.75" style="116" customWidth="1"/>
    <col min="3540" max="3540" width="21" style="116" customWidth="1"/>
    <col min="3541" max="3541" width="10.75" style="116" customWidth="1"/>
    <col min="3542" max="3542" width="11.125" style="116" bestFit="1" customWidth="1"/>
    <col min="3543" max="3543" width="11.125" style="116" customWidth="1"/>
    <col min="3544" max="3544" width="10.625" style="116" customWidth="1"/>
    <col min="3545" max="3545" width="10.875" style="116" customWidth="1"/>
    <col min="3546" max="3546" width="11.125" style="116" customWidth="1"/>
    <col min="3547" max="3783" width="9" style="116"/>
    <col min="3784" max="3784" width="3.625" style="116" customWidth="1"/>
    <col min="3785" max="3785" width="51.25" style="116" customWidth="1"/>
    <col min="3786" max="3786" width="0" style="116" hidden="1" customWidth="1"/>
    <col min="3787" max="3787" width="13.125" style="116" customWidth="1"/>
    <col min="3788" max="3788" width="11.625" style="116" customWidth="1"/>
    <col min="3789" max="3789" width="11" style="116" customWidth="1"/>
    <col min="3790" max="3790" width="11.875" style="116" customWidth="1"/>
    <col min="3791" max="3791" width="10.5" style="116" customWidth="1"/>
    <col min="3792" max="3792" width="10.625" style="116" customWidth="1"/>
    <col min="3793" max="3793" width="10" style="116" customWidth="1"/>
    <col min="3794" max="3794" width="0" style="116" hidden="1" customWidth="1"/>
    <col min="3795" max="3795" width="11.75" style="116" customWidth="1"/>
    <col min="3796" max="3796" width="21" style="116" customWidth="1"/>
    <col min="3797" max="3797" width="10.75" style="116" customWidth="1"/>
    <col min="3798" max="3798" width="11.125" style="116" bestFit="1" customWidth="1"/>
    <col min="3799" max="3799" width="11.125" style="116" customWidth="1"/>
    <col min="3800" max="3800" width="10.625" style="116" customWidth="1"/>
    <col min="3801" max="3801" width="10.875" style="116" customWidth="1"/>
    <col min="3802" max="3802" width="11.125" style="116" customWidth="1"/>
    <col min="3803" max="4039" width="9" style="116"/>
    <col min="4040" max="4040" width="3.625" style="116" customWidth="1"/>
    <col min="4041" max="4041" width="51.25" style="116" customWidth="1"/>
    <col min="4042" max="4042" width="0" style="116" hidden="1" customWidth="1"/>
    <col min="4043" max="4043" width="13.125" style="116" customWidth="1"/>
    <col min="4044" max="4044" width="11.625" style="116" customWidth="1"/>
    <col min="4045" max="4045" width="11" style="116" customWidth="1"/>
    <col min="4046" max="4046" width="11.875" style="116" customWidth="1"/>
    <col min="4047" max="4047" width="10.5" style="116" customWidth="1"/>
    <col min="4048" max="4048" width="10.625" style="116" customWidth="1"/>
    <col min="4049" max="4049" width="10" style="116" customWidth="1"/>
    <col min="4050" max="4050" width="0" style="116" hidden="1" customWidth="1"/>
    <col min="4051" max="4051" width="11.75" style="116" customWidth="1"/>
    <col min="4052" max="4052" width="21" style="116" customWidth="1"/>
    <col min="4053" max="4053" width="10.75" style="116" customWidth="1"/>
    <col min="4054" max="4054" width="11.125" style="116" bestFit="1" customWidth="1"/>
    <col min="4055" max="4055" width="11.125" style="116" customWidth="1"/>
    <col min="4056" max="4056" width="10.625" style="116" customWidth="1"/>
    <col min="4057" max="4057" width="10.875" style="116" customWidth="1"/>
    <col min="4058" max="4058" width="11.125" style="116" customWidth="1"/>
    <col min="4059" max="4295" width="9" style="116"/>
    <col min="4296" max="4296" width="3.625" style="116" customWidth="1"/>
    <col min="4297" max="4297" width="51.25" style="116" customWidth="1"/>
    <col min="4298" max="4298" width="0" style="116" hidden="1" customWidth="1"/>
    <col min="4299" max="4299" width="13.125" style="116" customWidth="1"/>
    <col min="4300" max="4300" width="11.625" style="116" customWidth="1"/>
    <col min="4301" max="4301" width="11" style="116" customWidth="1"/>
    <col min="4302" max="4302" width="11.875" style="116" customWidth="1"/>
    <col min="4303" max="4303" width="10.5" style="116" customWidth="1"/>
    <col min="4304" max="4304" width="10.625" style="116" customWidth="1"/>
    <col min="4305" max="4305" width="10" style="116" customWidth="1"/>
    <col min="4306" max="4306" width="0" style="116" hidden="1" customWidth="1"/>
    <col min="4307" max="4307" width="11.75" style="116" customWidth="1"/>
    <col min="4308" max="4308" width="21" style="116" customWidth="1"/>
    <col min="4309" max="4309" width="10.75" style="116" customWidth="1"/>
    <col min="4310" max="4310" width="11.125" style="116" bestFit="1" customWidth="1"/>
    <col min="4311" max="4311" width="11.125" style="116" customWidth="1"/>
    <col min="4312" max="4312" width="10.625" style="116" customWidth="1"/>
    <col min="4313" max="4313" width="10.875" style="116" customWidth="1"/>
    <col min="4314" max="4314" width="11.125" style="116" customWidth="1"/>
    <col min="4315" max="4551" width="9" style="116"/>
    <col min="4552" max="4552" width="3.625" style="116" customWidth="1"/>
    <col min="4553" max="4553" width="51.25" style="116" customWidth="1"/>
    <col min="4554" max="4554" width="0" style="116" hidden="1" customWidth="1"/>
    <col min="4555" max="4555" width="13.125" style="116" customWidth="1"/>
    <col min="4556" max="4556" width="11.625" style="116" customWidth="1"/>
    <col min="4557" max="4557" width="11" style="116" customWidth="1"/>
    <col min="4558" max="4558" width="11.875" style="116" customWidth="1"/>
    <col min="4559" max="4559" width="10.5" style="116" customWidth="1"/>
    <col min="4560" max="4560" width="10.625" style="116" customWidth="1"/>
    <col min="4561" max="4561" width="10" style="116" customWidth="1"/>
    <col min="4562" max="4562" width="0" style="116" hidden="1" customWidth="1"/>
    <col min="4563" max="4563" width="11.75" style="116" customWidth="1"/>
    <col min="4564" max="4564" width="21" style="116" customWidth="1"/>
    <col min="4565" max="4565" width="10.75" style="116" customWidth="1"/>
    <col min="4566" max="4566" width="11.125" style="116" bestFit="1" customWidth="1"/>
    <col min="4567" max="4567" width="11.125" style="116" customWidth="1"/>
    <col min="4568" max="4568" width="10.625" style="116" customWidth="1"/>
    <col min="4569" max="4569" width="10.875" style="116" customWidth="1"/>
    <col min="4570" max="4570" width="11.125" style="116" customWidth="1"/>
    <col min="4571" max="4807" width="9" style="116"/>
    <col min="4808" max="4808" width="3.625" style="116" customWidth="1"/>
    <col min="4809" max="4809" width="51.25" style="116" customWidth="1"/>
    <col min="4810" max="4810" width="0" style="116" hidden="1" customWidth="1"/>
    <col min="4811" max="4811" width="13.125" style="116" customWidth="1"/>
    <col min="4812" max="4812" width="11.625" style="116" customWidth="1"/>
    <col min="4813" max="4813" width="11" style="116" customWidth="1"/>
    <col min="4814" max="4814" width="11.875" style="116" customWidth="1"/>
    <col min="4815" max="4815" width="10.5" style="116" customWidth="1"/>
    <col min="4816" max="4816" width="10.625" style="116" customWidth="1"/>
    <col min="4817" max="4817" width="10" style="116" customWidth="1"/>
    <col min="4818" max="4818" width="0" style="116" hidden="1" customWidth="1"/>
    <col min="4819" max="4819" width="11.75" style="116" customWidth="1"/>
    <col min="4820" max="4820" width="21" style="116" customWidth="1"/>
    <col min="4821" max="4821" width="10.75" style="116" customWidth="1"/>
    <col min="4822" max="4822" width="11.125" style="116" bestFit="1" customWidth="1"/>
    <col min="4823" max="4823" width="11.125" style="116" customWidth="1"/>
    <col min="4824" max="4824" width="10.625" style="116" customWidth="1"/>
    <col min="4825" max="4825" width="10.875" style="116" customWidth="1"/>
    <col min="4826" max="4826" width="11.125" style="116" customWidth="1"/>
    <col min="4827" max="5063" width="9" style="116"/>
    <col min="5064" max="5064" width="3.625" style="116" customWidth="1"/>
    <col min="5065" max="5065" width="51.25" style="116" customWidth="1"/>
    <col min="5066" max="5066" width="0" style="116" hidden="1" customWidth="1"/>
    <col min="5067" max="5067" width="13.125" style="116" customWidth="1"/>
    <col min="5068" max="5068" width="11.625" style="116" customWidth="1"/>
    <col min="5069" max="5069" width="11" style="116" customWidth="1"/>
    <col min="5070" max="5070" width="11.875" style="116" customWidth="1"/>
    <col min="5071" max="5071" width="10.5" style="116" customWidth="1"/>
    <col min="5072" max="5072" width="10.625" style="116" customWidth="1"/>
    <col min="5073" max="5073" width="10" style="116" customWidth="1"/>
    <col min="5074" max="5074" width="0" style="116" hidden="1" customWidth="1"/>
    <col min="5075" max="5075" width="11.75" style="116" customWidth="1"/>
    <col min="5076" max="5076" width="21" style="116" customWidth="1"/>
    <col min="5077" max="5077" width="10.75" style="116" customWidth="1"/>
    <col min="5078" max="5078" width="11.125" style="116" bestFit="1" customWidth="1"/>
    <col min="5079" max="5079" width="11.125" style="116" customWidth="1"/>
    <col min="5080" max="5080" width="10.625" style="116" customWidth="1"/>
    <col min="5081" max="5081" width="10.875" style="116" customWidth="1"/>
    <col min="5082" max="5082" width="11.125" style="116" customWidth="1"/>
    <col min="5083" max="5319" width="9" style="116"/>
    <col min="5320" max="5320" width="3.625" style="116" customWidth="1"/>
    <col min="5321" max="5321" width="51.25" style="116" customWidth="1"/>
    <col min="5322" max="5322" width="0" style="116" hidden="1" customWidth="1"/>
    <col min="5323" max="5323" width="13.125" style="116" customWidth="1"/>
    <col min="5324" max="5324" width="11.625" style="116" customWidth="1"/>
    <col min="5325" max="5325" width="11" style="116" customWidth="1"/>
    <col min="5326" max="5326" width="11.875" style="116" customWidth="1"/>
    <col min="5327" max="5327" width="10.5" style="116" customWidth="1"/>
    <col min="5328" max="5328" width="10.625" style="116" customWidth="1"/>
    <col min="5329" max="5329" width="10" style="116" customWidth="1"/>
    <col min="5330" max="5330" width="0" style="116" hidden="1" customWidth="1"/>
    <col min="5331" max="5331" width="11.75" style="116" customWidth="1"/>
    <col min="5332" max="5332" width="21" style="116" customWidth="1"/>
    <col min="5333" max="5333" width="10.75" style="116" customWidth="1"/>
    <col min="5334" max="5334" width="11.125" style="116" bestFit="1" customWidth="1"/>
    <col min="5335" max="5335" width="11.125" style="116" customWidth="1"/>
    <col min="5336" max="5336" width="10.625" style="116" customWidth="1"/>
    <col min="5337" max="5337" width="10.875" style="116" customWidth="1"/>
    <col min="5338" max="5338" width="11.125" style="116" customWidth="1"/>
    <col min="5339" max="5575" width="9" style="116"/>
    <col min="5576" max="5576" width="3.625" style="116" customWidth="1"/>
    <col min="5577" max="5577" width="51.25" style="116" customWidth="1"/>
    <col min="5578" max="5578" width="0" style="116" hidden="1" customWidth="1"/>
    <col min="5579" max="5579" width="13.125" style="116" customWidth="1"/>
    <col min="5580" max="5580" width="11.625" style="116" customWidth="1"/>
    <col min="5581" max="5581" width="11" style="116" customWidth="1"/>
    <col min="5582" max="5582" width="11.875" style="116" customWidth="1"/>
    <col min="5583" max="5583" width="10.5" style="116" customWidth="1"/>
    <col min="5584" max="5584" width="10.625" style="116" customWidth="1"/>
    <col min="5585" max="5585" width="10" style="116" customWidth="1"/>
    <col min="5586" max="5586" width="0" style="116" hidden="1" customWidth="1"/>
    <col min="5587" max="5587" width="11.75" style="116" customWidth="1"/>
    <col min="5588" max="5588" width="21" style="116" customWidth="1"/>
    <col min="5589" max="5589" width="10.75" style="116" customWidth="1"/>
    <col min="5590" max="5590" width="11.125" style="116" bestFit="1" customWidth="1"/>
    <col min="5591" max="5591" width="11.125" style="116" customWidth="1"/>
    <col min="5592" max="5592" width="10.625" style="116" customWidth="1"/>
    <col min="5593" max="5593" width="10.875" style="116" customWidth="1"/>
    <col min="5594" max="5594" width="11.125" style="116" customWidth="1"/>
    <col min="5595" max="5831" width="9" style="116"/>
    <col min="5832" max="5832" width="3.625" style="116" customWidth="1"/>
    <col min="5833" max="5833" width="51.25" style="116" customWidth="1"/>
    <col min="5834" max="5834" width="0" style="116" hidden="1" customWidth="1"/>
    <col min="5835" max="5835" width="13.125" style="116" customWidth="1"/>
    <col min="5836" max="5836" width="11.625" style="116" customWidth="1"/>
    <col min="5837" max="5837" width="11" style="116" customWidth="1"/>
    <col min="5838" max="5838" width="11.875" style="116" customWidth="1"/>
    <col min="5839" max="5839" width="10.5" style="116" customWidth="1"/>
    <col min="5840" max="5840" width="10.625" style="116" customWidth="1"/>
    <col min="5841" max="5841" width="10" style="116" customWidth="1"/>
    <col min="5842" max="5842" width="0" style="116" hidden="1" customWidth="1"/>
    <col min="5843" max="5843" width="11.75" style="116" customWidth="1"/>
    <col min="5844" max="5844" width="21" style="116" customWidth="1"/>
    <col min="5845" max="5845" width="10.75" style="116" customWidth="1"/>
    <col min="5846" max="5846" width="11.125" style="116" bestFit="1" customWidth="1"/>
    <col min="5847" max="5847" width="11.125" style="116" customWidth="1"/>
    <col min="5848" max="5848" width="10.625" style="116" customWidth="1"/>
    <col min="5849" max="5849" width="10.875" style="116" customWidth="1"/>
    <col min="5850" max="5850" width="11.125" style="116" customWidth="1"/>
    <col min="5851" max="6087" width="9" style="116"/>
    <col min="6088" max="6088" width="3.625" style="116" customWidth="1"/>
    <col min="6089" max="6089" width="51.25" style="116" customWidth="1"/>
    <col min="6090" max="6090" width="0" style="116" hidden="1" customWidth="1"/>
    <col min="6091" max="6091" width="13.125" style="116" customWidth="1"/>
    <col min="6092" max="6092" width="11.625" style="116" customWidth="1"/>
    <col min="6093" max="6093" width="11" style="116" customWidth="1"/>
    <col min="6094" max="6094" width="11.875" style="116" customWidth="1"/>
    <col min="6095" max="6095" width="10.5" style="116" customWidth="1"/>
    <col min="6096" max="6096" width="10.625" style="116" customWidth="1"/>
    <col min="6097" max="6097" width="10" style="116" customWidth="1"/>
    <col min="6098" max="6098" width="0" style="116" hidden="1" customWidth="1"/>
    <col min="6099" max="6099" width="11.75" style="116" customWidth="1"/>
    <col min="6100" max="6100" width="21" style="116" customWidth="1"/>
    <col min="6101" max="6101" width="10.75" style="116" customWidth="1"/>
    <col min="6102" max="6102" width="11.125" style="116" bestFit="1" customWidth="1"/>
    <col min="6103" max="6103" width="11.125" style="116" customWidth="1"/>
    <col min="6104" max="6104" width="10.625" style="116" customWidth="1"/>
    <col min="6105" max="6105" width="10.875" style="116" customWidth="1"/>
    <col min="6106" max="6106" width="11.125" style="116" customWidth="1"/>
    <col min="6107" max="6343" width="9" style="116"/>
    <col min="6344" max="6344" width="3.625" style="116" customWidth="1"/>
    <col min="6345" max="6345" width="51.25" style="116" customWidth="1"/>
    <col min="6346" max="6346" width="0" style="116" hidden="1" customWidth="1"/>
    <col min="6347" max="6347" width="13.125" style="116" customWidth="1"/>
    <col min="6348" max="6348" width="11.625" style="116" customWidth="1"/>
    <col min="6349" max="6349" width="11" style="116" customWidth="1"/>
    <col min="6350" max="6350" width="11.875" style="116" customWidth="1"/>
    <col min="6351" max="6351" width="10.5" style="116" customWidth="1"/>
    <col min="6352" max="6352" width="10.625" style="116" customWidth="1"/>
    <col min="6353" max="6353" width="10" style="116" customWidth="1"/>
    <col min="6354" max="6354" width="0" style="116" hidden="1" customWidth="1"/>
    <col min="6355" max="6355" width="11.75" style="116" customWidth="1"/>
    <col min="6356" max="6356" width="21" style="116" customWidth="1"/>
    <col min="6357" max="6357" width="10.75" style="116" customWidth="1"/>
    <col min="6358" max="6358" width="11.125" style="116" bestFit="1" customWidth="1"/>
    <col min="6359" max="6359" width="11.125" style="116" customWidth="1"/>
    <col min="6360" max="6360" width="10.625" style="116" customWidth="1"/>
    <col min="6361" max="6361" width="10.875" style="116" customWidth="1"/>
    <col min="6362" max="6362" width="11.125" style="116" customWidth="1"/>
    <col min="6363" max="6599" width="9" style="116"/>
    <col min="6600" max="6600" width="3.625" style="116" customWidth="1"/>
    <col min="6601" max="6601" width="51.25" style="116" customWidth="1"/>
    <col min="6602" max="6602" width="0" style="116" hidden="1" customWidth="1"/>
    <col min="6603" max="6603" width="13.125" style="116" customWidth="1"/>
    <col min="6604" max="6604" width="11.625" style="116" customWidth="1"/>
    <col min="6605" max="6605" width="11" style="116" customWidth="1"/>
    <col min="6606" max="6606" width="11.875" style="116" customWidth="1"/>
    <col min="6607" max="6607" width="10.5" style="116" customWidth="1"/>
    <col min="6608" max="6608" width="10.625" style="116" customWidth="1"/>
    <col min="6609" max="6609" width="10" style="116" customWidth="1"/>
    <col min="6610" max="6610" width="0" style="116" hidden="1" customWidth="1"/>
    <col min="6611" max="6611" width="11.75" style="116" customWidth="1"/>
    <col min="6612" max="6612" width="21" style="116" customWidth="1"/>
    <col min="6613" max="6613" width="10.75" style="116" customWidth="1"/>
    <col min="6614" max="6614" width="11.125" style="116" bestFit="1" customWidth="1"/>
    <col min="6615" max="6615" width="11.125" style="116" customWidth="1"/>
    <col min="6616" max="6616" width="10.625" style="116" customWidth="1"/>
    <col min="6617" max="6617" width="10.875" style="116" customWidth="1"/>
    <col min="6618" max="6618" width="11.125" style="116" customWidth="1"/>
    <col min="6619" max="6855" width="9" style="116"/>
    <col min="6856" max="6856" width="3.625" style="116" customWidth="1"/>
    <col min="6857" max="6857" width="51.25" style="116" customWidth="1"/>
    <col min="6858" max="6858" width="0" style="116" hidden="1" customWidth="1"/>
    <col min="6859" max="6859" width="13.125" style="116" customWidth="1"/>
    <col min="6860" max="6860" width="11.625" style="116" customWidth="1"/>
    <col min="6861" max="6861" width="11" style="116" customWidth="1"/>
    <col min="6862" max="6862" width="11.875" style="116" customWidth="1"/>
    <col min="6863" max="6863" width="10.5" style="116" customWidth="1"/>
    <col min="6864" max="6864" width="10.625" style="116" customWidth="1"/>
    <col min="6865" max="6865" width="10" style="116" customWidth="1"/>
    <col min="6866" max="6866" width="0" style="116" hidden="1" customWidth="1"/>
    <col min="6867" max="6867" width="11.75" style="116" customWidth="1"/>
    <col min="6868" max="6868" width="21" style="116" customWidth="1"/>
    <col min="6869" max="6869" width="10.75" style="116" customWidth="1"/>
    <col min="6870" max="6870" width="11.125" style="116" bestFit="1" customWidth="1"/>
    <col min="6871" max="6871" width="11.125" style="116" customWidth="1"/>
    <col min="6872" max="6872" width="10.625" style="116" customWidth="1"/>
    <col min="6873" max="6873" width="10.875" style="116" customWidth="1"/>
    <col min="6874" max="6874" width="11.125" style="116" customWidth="1"/>
    <col min="6875" max="7111" width="9" style="116"/>
    <col min="7112" max="7112" width="3.625" style="116" customWidth="1"/>
    <col min="7113" max="7113" width="51.25" style="116" customWidth="1"/>
    <col min="7114" max="7114" width="0" style="116" hidden="1" customWidth="1"/>
    <col min="7115" max="7115" width="13.125" style="116" customWidth="1"/>
    <col min="7116" max="7116" width="11.625" style="116" customWidth="1"/>
    <col min="7117" max="7117" width="11" style="116" customWidth="1"/>
    <col min="7118" max="7118" width="11.875" style="116" customWidth="1"/>
    <col min="7119" max="7119" width="10.5" style="116" customWidth="1"/>
    <col min="7120" max="7120" width="10.625" style="116" customWidth="1"/>
    <col min="7121" max="7121" width="10" style="116" customWidth="1"/>
    <col min="7122" max="7122" width="0" style="116" hidden="1" customWidth="1"/>
    <col min="7123" max="7123" width="11.75" style="116" customWidth="1"/>
    <col min="7124" max="7124" width="21" style="116" customWidth="1"/>
    <col min="7125" max="7125" width="10.75" style="116" customWidth="1"/>
    <col min="7126" max="7126" width="11.125" style="116" bestFit="1" customWidth="1"/>
    <col min="7127" max="7127" width="11.125" style="116" customWidth="1"/>
    <col min="7128" max="7128" width="10.625" style="116" customWidth="1"/>
    <col min="7129" max="7129" width="10.875" style="116" customWidth="1"/>
    <col min="7130" max="7130" width="11.125" style="116" customWidth="1"/>
    <col min="7131" max="7367" width="9" style="116"/>
    <col min="7368" max="7368" width="3.625" style="116" customWidth="1"/>
    <col min="7369" max="7369" width="51.25" style="116" customWidth="1"/>
    <col min="7370" max="7370" width="0" style="116" hidden="1" customWidth="1"/>
    <col min="7371" max="7371" width="13.125" style="116" customWidth="1"/>
    <col min="7372" max="7372" width="11.625" style="116" customWidth="1"/>
    <col min="7373" max="7373" width="11" style="116" customWidth="1"/>
    <col min="7374" max="7374" width="11.875" style="116" customWidth="1"/>
    <col min="7375" max="7375" width="10.5" style="116" customWidth="1"/>
    <col min="7376" max="7376" width="10.625" style="116" customWidth="1"/>
    <col min="7377" max="7377" width="10" style="116" customWidth="1"/>
    <col min="7378" max="7378" width="0" style="116" hidden="1" customWidth="1"/>
    <col min="7379" max="7379" width="11.75" style="116" customWidth="1"/>
    <col min="7380" max="7380" width="21" style="116" customWidth="1"/>
    <col min="7381" max="7381" width="10.75" style="116" customWidth="1"/>
    <col min="7382" max="7382" width="11.125" style="116" bestFit="1" customWidth="1"/>
    <col min="7383" max="7383" width="11.125" style="116" customWidth="1"/>
    <col min="7384" max="7384" width="10.625" style="116" customWidth="1"/>
    <col min="7385" max="7385" width="10.875" style="116" customWidth="1"/>
    <col min="7386" max="7386" width="11.125" style="116" customWidth="1"/>
    <col min="7387" max="7623" width="9" style="116"/>
    <col min="7624" max="7624" width="3.625" style="116" customWidth="1"/>
    <col min="7625" max="7625" width="51.25" style="116" customWidth="1"/>
    <col min="7626" max="7626" width="0" style="116" hidden="1" customWidth="1"/>
    <col min="7627" max="7627" width="13.125" style="116" customWidth="1"/>
    <col min="7628" max="7628" width="11.625" style="116" customWidth="1"/>
    <col min="7629" max="7629" width="11" style="116" customWidth="1"/>
    <col min="7630" max="7630" width="11.875" style="116" customWidth="1"/>
    <col min="7631" max="7631" width="10.5" style="116" customWidth="1"/>
    <col min="7632" max="7632" width="10.625" style="116" customWidth="1"/>
    <col min="7633" max="7633" width="10" style="116" customWidth="1"/>
    <col min="7634" max="7634" width="0" style="116" hidden="1" customWidth="1"/>
    <col min="7635" max="7635" width="11.75" style="116" customWidth="1"/>
    <col min="7636" max="7636" width="21" style="116" customWidth="1"/>
    <col min="7637" max="7637" width="10.75" style="116" customWidth="1"/>
    <col min="7638" max="7638" width="11.125" style="116" bestFit="1" customWidth="1"/>
    <col min="7639" max="7639" width="11.125" style="116" customWidth="1"/>
    <col min="7640" max="7640" width="10.625" style="116" customWidth="1"/>
    <col min="7641" max="7641" width="10.875" style="116" customWidth="1"/>
    <col min="7642" max="7642" width="11.125" style="116" customWidth="1"/>
    <col min="7643" max="7879" width="9" style="116"/>
    <col min="7880" max="7880" width="3.625" style="116" customWidth="1"/>
    <col min="7881" max="7881" width="51.25" style="116" customWidth="1"/>
    <col min="7882" max="7882" width="0" style="116" hidden="1" customWidth="1"/>
    <col min="7883" max="7883" width="13.125" style="116" customWidth="1"/>
    <col min="7884" max="7884" width="11.625" style="116" customWidth="1"/>
    <col min="7885" max="7885" width="11" style="116" customWidth="1"/>
    <col min="7886" max="7886" width="11.875" style="116" customWidth="1"/>
    <col min="7887" max="7887" width="10.5" style="116" customWidth="1"/>
    <col min="7888" max="7888" width="10.625" style="116" customWidth="1"/>
    <col min="7889" max="7889" width="10" style="116" customWidth="1"/>
    <col min="7890" max="7890" width="0" style="116" hidden="1" customWidth="1"/>
    <col min="7891" max="7891" width="11.75" style="116" customWidth="1"/>
    <col min="7892" max="7892" width="21" style="116" customWidth="1"/>
    <col min="7893" max="7893" width="10.75" style="116" customWidth="1"/>
    <col min="7894" max="7894" width="11.125" style="116" bestFit="1" customWidth="1"/>
    <col min="7895" max="7895" width="11.125" style="116" customWidth="1"/>
    <col min="7896" max="7896" width="10.625" style="116" customWidth="1"/>
    <col min="7897" max="7897" width="10.875" style="116" customWidth="1"/>
    <col min="7898" max="7898" width="11.125" style="116" customWidth="1"/>
    <col min="7899" max="8135" width="9" style="116"/>
    <col min="8136" max="8136" width="3.625" style="116" customWidth="1"/>
    <col min="8137" max="8137" width="51.25" style="116" customWidth="1"/>
    <col min="8138" max="8138" width="0" style="116" hidden="1" customWidth="1"/>
    <col min="8139" max="8139" width="13.125" style="116" customWidth="1"/>
    <col min="8140" max="8140" width="11.625" style="116" customWidth="1"/>
    <col min="8141" max="8141" width="11" style="116" customWidth="1"/>
    <col min="8142" max="8142" width="11.875" style="116" customWidth="1"/>
    <col min="8143" max="8143" width="10.5" style="116" customWidth="1"/>
    <col min="8144" max="8144" width="10.625" style="116" customWidth="1"/>
    <col min="8145" max="8145" width="10" style="116" customWidth="1"/>
    <col min="8146" max="8146" width="0" style="116" hidden="1" customWidth="1"/>
    <col min="8147" max="8147" width="11.75" style="116" customWidth="1"/>
    <col min="8148" max="8148" width="21" style="116" customWidth="1"/>
    <col min="8149" max="8149" width="10.75" style="116" customWidth="1"/>
    <col min="8150" max="8150" width="11.125" style="116" bestFit="1" customWidth="1"/>
    <col min="8151" max="8151" width="11.125" style="116" customWidth="1"/>
    <col min="8152" max="8152" width="10.625" style="116" customWidth="1"/>
    <col min="8153" max="8153" width="10.875" style="116" customWidth="1"/>
    <col min="8154" max="8154" width="11.125" style="116" customWidth="1"/>
    <col min="8155" max="8391" width="9" style="116"/>
    <col min="8392" max="8392" width="3.625" style="116" customWidth="1"/>
    <col min="8393" max="8393" width="51.25" style="116" customWidth="1"/>
    <col min="8394" max="8394" width="0" style="116" hidden="1" customWidth="1"/>
    <col min="8395" max="8395" width="13.125" style="116" customWidth="1"/>
    <col min="8396" max="8396" width="11.625" style="116" customWidth="1"/>
    <col min="8397" max="8397" width="11" style="116" customWidth="1"/>
    <col min="8398" max="8398" width="11.875" style="116" customWidth="1"/>
    <col min="8399" max="8399" width="10.5" style="116" customWidth="1"/>
    <col min="8400" max="8400" width="10.625" style="116" customWidth="1"/>
    <col min="8401" max="8401" width="10" style="116" customWidth="1"/>
    <col min="8402" max="8402" width="0" style="116" hidden="1" customWidth="1"/>
    <col min="8403" max="8403" width="11.75" style="116" customWidth="1"/>
    <col min="8404" max="8404" width="21" style="116" customWidth="1"/>
    <col min="8405" max="8405" width="10.75" style="116" customWidth="1"/>
    <col min="8406" max="8406" width="11.125" style="116" bestFit="1" customWidth="1"/>
    <col min="8407" max="8407" width="11.125" style="116" customWidth="1"/>
    <col min="8408" max="8408" width="10.625" style="116" customWidth="1"/>
    <col min="8409" max="8409" width="10.875" style="116" customWidth="1"/>
    <col min="8410" max="8410" width="11.125" style="116" customWidth="1"/>
    <col min="8411" max="8647" width="9" style="116"/>
    <col min="8648" max="8648" width="3.625" style="116" customWidth="1"/>
    <col min="8649" max="8649" width="51.25" style="116" customWidth="1"/>
    <col min="8650" max="8650" width="0" style="116" hidden="1" customWidth="1"/>
    <col min="8651" max="8651" width="13.125" style="116" customWidth="1"/>
    <col min="8652" max="8652" width="11.625" style="116" customWidth="1"/>
    <col min="8653" max="8653" width="11" style="116" customWidth="1"/>
    <col min="8654" max="8654" width="11.875" style="116" customWidth="1"/>
    <col min="8655" max="8655" width="10.5" style="116" customWidth="1"/>
    <col min="8656" max="8656" width="10.625" style="116" customWidth="1"/>
    <col min="8657" max="8657" width="10" style="116" customWidth="1"/>
    <col min="8658" max="8658" width="0" style="116" hidden="1" customWidth="1"/>
    <col min="8659" max="8659" width="11.75" style="116" customWidth="1"/>
    <col min="8660" max="8660" width="21" style="116" customWidth="1"/>
    <col min="8661" max="8661" width="10.75" style="116" customWidth="1"/>
    <col min="8662" max="8662" width="11.125" style="116" bestFit="1" customWidth="1"/>
    <col min="8663" max="8663" width="11.125" style="116" customWidth="1"/>
    <col min="8664" max="8664" width="10.625" style="116" customWidth="1"/>
    <col min="8665" max="8665" width="10.875" style="116" customWidth="1"/>
    <col min="8666" max="8666" width="11.125" style="116" customWidth="1"/>
    <col min="8667" max="8903" width="9" style="116"/>
    <col min="8904" max="8904" width="3.625" style="116" customWidth="1"/>
    <col min="8905" max="8905" width="51.25" style="116" customWidth="1"/>
    <col min="8906" max="8906" width="0" style="116" hidden="1" customWidth="1"/>
    <col min="8907" max="8907" width="13.125" style="116" customWidth="1"/>
    <col min="8908" max="8908" width="11.625" style="116" customWidth="1"/>
    <col min="8909" max="8909" width="11" style="116" customWidth="1"/>
    <col min="8910" max="8910" width="11.875" style="116" customWidth="1"/>
    <col min="8911" max="8911" width="10.5" style="116" customWidth="1"/>
    <col min="8912" max="8912" width="10.625" style="116" customWidth="1"/>
    <col min="8913" max="8913" width="10" style="116" customWidth="1"/>
    <col min="8914" max="8914" width="0" style="116" hidden="1" customWidth="1"/>
    <col min="8915" max="8915" width="11.75" style="116" customWidth="1"/>
    <col min="8916" max="8916" width="21" style="116" customWidth="1"/>
    <col min="8917" max="8917" width="10.75" style="116" customWidth="1"/>
    <col min="8918" max="8918" width="11.125" style="116" bestFit="1" customWidth="1"/>
    <col min="8919" max="8919" width="11.125" style="116" customWidth="1"/>
    <col min="8920" max="8920" width="10.625" style="116" customWidth="1"/>
    <col min="8921" max="8921" width="10.875" style="116" customWidth="1"/>
    <col min="8922" max="8922" width="11.125" style="116" customWidth="1"/>
    <col min="8923" max="9159" width="9" style="116"/>
    <col min="9160" max="9160" width="3.625" style="116" customWidth="1"/>
    <col min="9161" max="9161" width="51.25" style="116" customWidth="1"/>
    <col min="9162" max="9162" width="0" style="116" hidden="1" customWidth="1"/>
    <col min="9163" max="9163" width="13.125" style="116" customWidth="1"/>
    <col min="9164" max="9164" width="11.625" style="116" customWidth="1"/>
    <col min="9165" max="9165" width="11" style="116" customWidth="1"/>
    <col min="9166" max="9166" width="11.875" style="116" customWidth="1"/>
    <col min="9167" max="9167" width="10.5" style="116" customWidth="1"/>
    <col min="9168" max="9168" width="10.625" style="116" customWidth="1"/>
    <col min="9169" max="9169" width="10" style="116" customWidth="1"/>
    <col min="9170" max="9170" width="0" style="116" hidden="1" customWidth="1"/>
    <col min="9171" max="9171" width="11.75" style="116" customWidth="1"/>
    <col min="9172" max="9172" width="21" style="116" customWidth="1"/>
    <col min="9173" max="9173" width="10.75" style="116" customWidth="1"/>
    <col min="9174" max="9174" width="11.125" style="116" bestFit="1" customWidth="1"/>
    <col min="9175" max="9175" width="11.125" style="116" customWidth="1"/>
    <col min="9176" max="9176" width="10.625" style="116" customWidth="1"/>
    <col min="9177" max="9177" width="10.875" style="116" customWidth="1"/>
    <col min="9178" max="9178" width="11.125" style="116" customWidth="1"/>
    <col min="9179" max="9415" width="9" style="116"/>
    <col min="9416" max="9416" width="3.625" style="116" customWidth="1"/>
    <col min="9417" max="9417" width="51.25" style="116" customWidth="1"/>
    <col min="9418" max="9418" width="0" style="116" hidden="1" customWidth="1"/>
    <col min="9419" max="9419" width="13.125" style="116" customWidth="1"/>
    <col min="9420" max="9420" width="11.625" style="116" customWidth="1"/>
    <col min="9421" max="9421" width="11" style="116" customWidth="1"/>
    <col min="9422" max="9422" width="11.875" style="116" customWidth="1"/>
    <col min="9423" max="9423" width="10.5" style="116" customWidth="1"/>
    <col min="9424" max="9424" width="10.625" style="116" customWidth="1"/>
    <col min="9425" max="9425" width="10" style="116" customWidth="1"/>
    <col min="9426" max="9426" width="0" style="116" hidden="1" customWidth="1"/>
    <col min="9427" max="9427" width="11.75" style="116" customWidth="1"/>
    <col min="9428" max="9428" width="21" style="116" customWidth="1"/>
    <col min="9429" max="9429" width="10.75" style="116" customWidth="1"/>
    <col min="9430" max="9430" width="11.125" style="116" bestFit="1" customWidth="1"/>
    <col min="9431" max="9431" width="11.125" style="116" customWidth="1"/>
    <col min="9432" max="9432" width="10.625" style="116" customWidth="1"/>
    <col min="9433" max="9433" width="10.875" style="116" customWidth="1"/>
    <col min="9434" max="9434" width="11.125" style="116" customWidth="1"/>
    <col min="9435" max="9671" width="9" style="116"/>
    <col min="9672" max="9672" width="3.625" style="116" customWidth="1"/>
    <col min="9673" max="9673" width="51.25" style="116" customWidth="1"/>
    <col min="9674" max="9674" width="0" style="116" hidden="1" customWidth="1"/>
    <col min="9675" max="9675" width="13.125" style="116" customWidth="1"/>
    <col min="9676" max="9676" width="11.625" style="116" customWidth="1"/>
    <col min="9677" max="9677" width="11" style="116" customWidth="1"/>
    <col min="9678" max="9678" width="11.875" style="116" customWidth="1"/>
    <col min="9679" max="9679" width="10.5" style="116" customWidth="1"/>
    <col min="9680" max="9680" width="10.625" style="116" customWidth="1"/>
    <col min="9681" max="9681" width="10" style="116" customWidth="1"/>
    <col min="9682" max="9682" width="0" style="116" hidden="1" customWidth="1"/>
    <col min="9683" max="9683" width="11.75" style="116" customWidth="1"/>
    <col min="9684" max="9684" width="21" style="116" customWidth="1"/>
    <col min="9685" max="9685" width="10.75" style="116" customWidth="1"/>
    <col min="9686" max="9686" width="11.125" style="116" bestFit="1" customWidth="1"/>
    <col min="9687" max="9687" width="11.125" style="116" customWidth="1"/>
    <col min="9688" max="9688" width="10.625" style="116" customWidth="1"/>
    <col min="9689" max="9689" width="10.875" style="116" customWidth="1"/>
    <col min="9690" max="9690" width="11.125" style="116" customWidth="1"/>
    <col min="9691" max="9927" width="9" style="116"/>
    <col min="9928" max="9928" width="3.625" style="116" customWidth="1"/>
    <col min="9929" max="9929" width="51.25" style="116" customWidth="1"/>
    <col min="9930" max="9930" width="0" style="116" hidden="1" customWidth="1"/>
    <col min="9931" max="9931" width="13.125" style="116" customWidth="1"/>
    <col min="9932" max="9932" width="11.625" style="116" customWidth="1"/>
    <col min="9933" max="9933" width="11" style="116" customWidth="1"/>
    <col min="9934" max="9934" width="11.875" style="116" customWidth="1"/>
    <col min="9935" max="9935" width="10.5" style="116" customWidth="1"/>
    <col min="9936" max="9936" width="10.625" style="116" customWidth="1"/>
    <col min="9937" max="9937" width="10" style="116" customWidth="1"/>
    <col min="9938" max="9938" width="0" style="116" hidden="1" customWidth="1"/>
    <col min="9939" max="9939" width="11.75" style="116" customWidth="1"/>
    <col min="9940" max="9940" width="21" style="116" customWidth="1"/>
    <col min="9941" max="9941" width="10.75" style="116" customWidth="1"/>
    <col min="9942" max="9942" width="11.125" style="116" bestFit="1" customWidth="1"/>
    <col min="9943" max="9943" width="11.125" style="116" customWidth="1"/>
    <col min="9944" max="9944" width="10.625" style="116" customWidth="1"/>
    <col min="9945" max="9945" width="10.875" style="116" customWidth="1"/>
    <col min="9946" max="9946" width="11.125" style="116" customWidth="1"/>
    <col min="9947" max="10183" width="9" style="116"/>
    <col min="10184" max="10184" width="3.625" style="116" customWidth="1"/>
    <col min="10185" max="10185" width="51.25" style="116" customWidth="1"/>
    <col min="10186" max="10186" width="0" style="116" hidden="1" customWidth="1"/>
    <col min="10187" max="10187" width="13.125" style="116" customWidth="1"/>
    <col min="10188" max="10188" width="11.625" style="116" customWidth="1"/>
    <col min="10189" max="10189" width="11" style="116" customWidth="1"/>
    <col min="10190" max="10190" width="11.875" style="116" customWidth="1"/>
    <col min="10191" max="10191" width="10.5" style="116" customWidth="1"/>
    <col min="10192" max="10192" width="10.625" style="116" customWidth="1"/>
    <col min="10193" max="10193" width="10" style="116" customWidth="1"/>
    <col min="10194" max="10194" width="0" style="116" hidden="1" customWidth="1"/>
    <col min="10195" max="10195" width="11.75" style="116" customWidth="1"/>
    <col min="10196" max="10196" width="21" style="116" customWidth="1"/>
    <col min="10197" max="10197" width="10.75" style="116" customWidth="1"/>
    <col min="10198" max="10198" width="11.125" style="116" bestFit="1" customWidth="1"/>
    <col min="10199" max="10199" width="11.125" style="116" customWidth="1"/>
    <col min="10200" max="10200" width="10.625" style="116" customWidth="1"/>
    <col min="10201" max="10201" width="10.875" style="116" customWidth="1"/>
    <col min="10202" max="10202" width="11.125" style="116" customWidth="1"/>
    <col min="10203" max="10439" width="9" style="116"/>
    <col min="10440" max="10440" width="3.625" style="116" customWidth="1"/>
    <col min="10441" max="10441" width="51.25" style="116" customWidth="1"/>
    <col min="10442" max="10442" width="0" style="116" hidden="1" customWidth="1"/>
    <col min="10443" max="10443" width="13.125" style="116" customWidth="1"/>
    <col min="10444" max="10444" width="11.625" style="116" customWidth="1"/>
    <col min="10445" max="10445" width="11" style="116" customWidth="1"/>
    <col min="10446" max="10446" width="11.875" style="116" customWidth="1"/>
    <col min="10447" max="10447" width="10.5" style="116" customWidth="1"/>
    <col min="10448" max="10448" width="10.625" style="116" customWidth="1"/>
    <col min="10449" max="10449" width="10" style="116" customWidth="1"/>
    <col min="10450" max="10450" width="0" style="116" hidden="1" customWidth="1"/>
    <col min="10451" max="10451" width="11.75" style="116" customWidth="1"/>
    <col min="10452" max="10452" width="21" style="116" customWidth="1"/>
    <col min="10453" max="10453" width="10.75" style="116" customWidth="1"/>
    <col min="10454" max="10454" width="11.125" style="116" bestFit="1" customWidth="1"/>
    <col min="10455" max="10455" width="11.125" style="116" customWidth="1"/>
    <col min="10456" max="10456" width="10.625" style="116" customWidth="1"/>
    <col min="10457" max="10457" width="10.875" style="116" customWidth="1"/>
    <col min="10458" max="10458" width="11.125" style="116" customWidth="1"/>
    <col min="10459" max="10695" width="9" style="116"/>
    <col min="10696" max="10696" width="3.625" style="116" customWidth="1"/>
    <col min="10697" max="10697" width="51.25" style="116" customWidth="1"/>
    <col min="10698" max="10698" width="0" style="116" hidden="1" customWidth="1"/>
    <col min="10699" max="10699" width="13.125" style="116" customWidth="1"/>
    <col min="10700" max="10700" width="11.625" style="116" customWidth="1"/>
    <col min="10701" max="10701" width="11" style="116" customWidth="1"/>
    <col min="10702" max="10702" width="11.875" style="116" customWidth="1"/>
    <col min="10703" max="10703" width="10.5" style="116" customWidth="1"/>
    <col min="10704" max="10704" width="10.625" style="116" customWidth="1"/>
    <col min="10705" max="10705" width="10" style="116" customWidth="1"/>
    <col min="10706" max="10706" width="0" style="116" hidden="1" customWidth="1"/>
    <col min="10707" max="10707" width="11.75" style="116" customWidth="1"/>
    <col min="10708" max="10708" width="21" style="116" customWidth="1"/>
    <col min="10709" max="10709" width="10.75" style="116" customWidth="1"/>
    <col min="10710" max="10710" width="11.125" style="116" bestFit="1" customWidth="1"/>
    <col min="10711" max="10711" width="11.125" style="116" customWidth="1"/>
    <col min="10712" max="10712" width="10.625" style="116" customWidth="1"/>
    <col min="10713" max="10713" width="10.875" style="116" customWidth="1"/>
    <col min="10714" max="10714" width="11.125" style="116" customWidth="1"/>
    <col min="10715" max="10951" width="9" style="116"/>
    <col min="10952" max="10952" width="3.625" style="116" customWidth="1"/>
    <col min="10953" max="10953" width="51.25" style="116" customWidth="1"/>
    <col min="10954" max="10954" width="0" style="116" hidden="1" customWidth="1"/>
    <col min="10955" max="10955" width="13.125" style="116" customWidth="1"/>
    <col min="10956" max="10956" width="11.625" style="116" customWidth="1"/>
    <col min="10957" max="10957" width="11" style="116" customWidth="1"/>
    <col min="10958" max="10958" width="11.875" style="116" customWidth="1"/>
    <col min="10959" max="10959" width="10.5" style="116" customWidth="1"/>
    <col min="10960" max="10960" width="10.625" style="116" customWidth="1"/>
    <col min="10961" max="10961" width="10" style="116" customWidth="1"/>
    <col min="10962" max="10962" width="0" style="116" hidden="1" customWidth="1"/>
    <col min="10963" max="10963" width="11.75" style="116" customWidth="1"/>
    <col min="10964" max="10964" width="21" style="116" customWidth="1"/>
    <col min="10965" max="10965" width="10.75" style="116" customWidth="1"/>
    <col min="10966" max="10966" width="11.125" style="116" bestFit="1" customWidth="1"/>
    <col min="10967" max="10967" width="11.125" style="116" customWidth="1"/>
    <col min="10968" max="10968" width="10.625" style="116" customWidth="1"/>
    <col min="10969" max="10969" width="10.875" style="116" customWidth="1"/>
    <col min="10970" max="10970" width="11.125" style="116" customWidth="1"/>
    <col min="10971" max="11207" width="9" style="116"/>
    <col min="11208" max="11208" width="3.625" style="116" customWidth="1"/>
    <col min="11209" max="11209" width="51.25" style="116" customWidth="1"/>
    <col min="11210" max="11210" width="0" style="116" hidden="1" customWidth="1"/>
    <col min="11211" max="11211" width="13.125" style="116" customWidth="1"/>
    <col min="11212" max="11212" width="11.625" style="116" customWidth="1"/>
    <col min="11213" max="11213" width="11" style="116" customWidth="1"/>
    <col min="11214" max="11214" width="11.875" style="116" customWidth="1"/>
    <col min="11215" max="11215" width="10.5" style="116" customWidth="1"/>
    <col min="11216" max="11216" width="10.625" style="116" customWidth="1"/>
    <col min="11217" max="11217" width="10" style="116" customWidth="1"/>
    <col min="11218" max="11218" width="0" style="116" hidden="1" customWidth="1"/>
    <col min="11219" max="11219" width="11.75" style="116" customWidth="1"/>
    <col min="11220" max="11220" width="21" style="116" customWidth="1"/>
    <col min="11221" max="11221" width="10.75" style="116" customWidth="1"/>
    <col min="11222" max="11222" width="11.125" style="116" bestFit="1" customWidth="1"/>
    <col min="11223" max="11223" width="11.125" style="116" customWidth="1"/>
    <col min="11224" max="11224" width="10.625" style="116" customWidth="1"/>
    <col min="11225" max="11225" width="10.875" style="116" customWidth="1"/>
    <col min="11226" max="11226" width="11.125" style="116" customWidth="1"/>
    <col min="11227" max="11463" width="9" style="116"/>
    <col min="11464" max="11464" width="3.625" style="116" customWidth="1"/>
    <col min="11465" max="11465" width="51.25" style="116" customWidth="1"/>
    <col min="11466" max="11466" width="0" style="116" hidden="1" customWidth="1"/>
    <col min="11467" max="11467" width="13.125" style="116" customWidth="1"/>
    <col min="11468" max="11468" width="11.625" style="116" customWidth="1"/>
    <col min="11469" max="11469" width="11" style="116" customWidth="1"/>
    <col min="11470" max="11470" width="11.875" style="116" customWidth="1"/>
    <col min="11471" max="11471" width="10.5" style="116" customWidth="1"/>
    <col min="11472" max="11472" width="10.625" style="116" customWidth="1"/>
    <col min="11473" max="11473" width="10" style="116" customWidth="1"/>
    <col min="11474" max="11474" width="0" style="116" hidden="1" customWidth="1"/>
    <col min="11475" max="11475" width="11.75" style="116" customWidth="1"/>
    <col min="11476" max="11476" width="21" style="116" customWidth="1"/>
    <col min="11477" max="11477" width="10.75" style="116" customWidth="1"/>
    <col min="11478" max="11478" width="11.125" style="116" bestFit="1" customWidth="1"/>
    <col min="11479" max="11479" width="11.125" style="116" customWidth="1"/>
    <col min="11480" max="11480" width="10.625" style="116" customWidth="1"/>
    <col min="11481" max="11481" width="10.875" style="116" customWidth="1"/>
    <col min="11482" max="11482" width="11.125" style="116" customWidth="1"/>
    <col min="11483" max="11719" width="9" style="116"/>
    <col min="11720" max="11720" width="3.625" style="116" customWidth="1"/>
    <col min="11721" max="11721" width="51.25" style="116" customWidth="1"/>
    <col min="11722" max="11722" width="0" style="116" hidden="1" customWidth="1"/>
    <col min="11723" max="11723" width="13.125" style="116" customWidth="1"/>
    <col min="11724" max="11724" width="11.625" style="116" customWidth="1"/>
    <col min="11725" max="11725" width="11" style="116" customWidth="1"/>
    <col min="11726" max="11726" width="11.875" style="116" customWidth="1"/>
    <col min="11727" max="11727" width="10.5" style="116" customWidth="1"/>
    <col min="11728" max="11728" width="10.625" style="116" customWidth="1"/>
    <col min="11729" max="11729" width="10" style="116" customWidth="1"/>
    <col min="11730" max="11730" width="0" style="116" hidden="1" customWidth="1"/>
    <col min="11731" max="11731" width="11.75" style="116" customWidth="1"/>
    <col min="11732" max="11732" width="21" style="116" customWidth="1"/>
    <col min="11733" max="11733" width="10.75" style="116" customWidth="1"/>
    <col min="11734" max="11734" width="11.125" style="116" bestFit="1" customWidth="1"/>
    <col min="11735" max="11735" width="11.125" style="116" customWidth="1"/>
    <col min="11736" max="11736" width="10.625" style="116" customWidth="1"/>
    <col min="11737" max="11737" width="10.875" style="116" customWidth="1"/>
    <col min="11738" max="11738" width="11.125" style="116" customWidth="1"/>
    <col min="11739" max="11975" width="9" style="116"/>
    <col min="11976" max="11976" width="3.625" style="116" customWidth="1"/>
    <col min="11977" max="11977" width="51.25" style="116" customWidth="1"/>
    <col min="11978" max="11978" width="0" style="116" hidden="1" customWidth="1"/>
    <col min="11979" max="11979" width="13.125" style="116" customWidth="1"/>
    <col min="11980" max="11980" width="11.625" style="116" customWidth="1"/>
    <col min="11981" max="11981" width="11" style="116" customWidth="1"/>
    <col min="11982" max="11982" width="11.875" style="116" customWidth="1"/>
    <col min="11983" max="11983" width="10.5" style="116" customWidth="1"/>
    <col min="11984" max="11984" width="10.625" style="116" customWidth="1"/>
    <col min="11985" max="11985" width="10" style="116" customWidth="1"/>
    <col min="11986" max="11986" width="0" style="116" hidden="1" customWidth="1"/>
    <col min="11987" max="11987" width="11.75" style="116" customWidth="1"/>
    <col min="11988" max="11988" width="21" style="116" customWidth="1"/>
    <col min="11989" max="11989" width="10.75" style="116" customWidth="1"/>
    <col min="11990" max="11990" width="11.125" style="116" bestFit="1" customWidth="1"/>
    <col min="11991" max="11991" width="11.125" style="116" customWidth="1"/>
    <col min="11992" max="11992" width="10.625" style="116" customWidth="1"/>
    <col min="11993" max="11993" width="10.875" style="116" customWidth="1"/>
    <col min="11994" max="11994" width="11.125" style="116" customWidth="1"/>
    <col min="11995" max="12231" width="9" style="116"/>
    <col min="12232" max="12232" width="3.625" style="116" customWidth="1"/>
    <col min="12233" max="12233" width="51.25" style="116" customWidth="1"/>
    <col min="12234" max="12234" width="0" style="116" hidden="1" customWidth="1"/>
    <col min="12235" max="12235" width="13.125" style="116" customWidth="1"/>
    <col min="12236" max="12236" width="11.625" style="116" customWidth="1"/>
    <col min="12237" max="12237" width="11" style="116" customWidth="1"/>
    <col min="12238" max="12238" width="11.875" style="116" customWidth="1"/>
    <col min="12239" max="12239" width="10.5" style="116" customWidth="1"/>
    <col min="12240" max="12240" width="10.625" style="116" customWidth="1"/>
    <col min="12241" max="12241" width="10" style="116" customWidth="1"/>
    <col min="12242" max="12242" width="0" style="116" hidden="1" customWidth="1"/>
    <col min="12243" max="12243" width="11.75" style="116" customWidth="1"/>
    <col min="12244" max="12244" width="21" style="116" customWidth="1"/>
    <col min="12245" max="12245" width="10.75" style="116" customWidth="1"/>
    <col min="12246" max="12246" width="11.125" style="116" bestFit="1" customWidth="1"/>
    <col min="12247" max="12247" width="11.125" style="116" customWidth="1"/>
    <col min="12248" max="12248" width="10.625" style="116" customWidth="1"/>
    <col min="12249" max="12249" width="10.875" style="116" customWidth="1"/>
    <col min="12250" max="12250" width="11.125" style="116" customWidth="1"/>
    <col min="12251" max="12487" width="9" style="116"/>
    <col min="12488" max="12488" width="3.625" style="116" customWidth="1"/>
    <col min="12489" max="12489" width="51.25" style="116" customWidth="1"/>
    <col min="12490" max="12490" width="0" style="116" hidden="1" customWidth="1"/>
    <col min="12491" max="12491" width="13.125" style="116" customWidth="1"/>
    <col min="12492" max="12492" width="11.625" style="116" customWidth="1"/>
    <col min="12493" max="12493" width="11" style="116" customWidth="1"/>
    <col min="12494" max="12494" width="11.875" style="116" customWidth="1"/>
    <col min="12495" max="12495" width="10.5" style="116" customWidth="1"/>
    <col min="12496" max="12496" width="10.625" style="116" customWidth="1"/>
    <col min="12497" max="12497" width="10" style="116" customWidth="1"/>
    <col min="12498" max="12498" width="0" style="116" hidden="1" customWidth="1"/>
    <col min="12499" max="12499" width="11.75" style="116" customWidth="1"/>
    <col min="12500" max="12500" width="21" style="116" customWidth="1"/>
    <col min="12501" max="12501" width="10.75" style="116" customWidth="1"/>
    <col min="12502" max="12502" width="11.125" style="116" bestFit="1" customWidth="1"/>
    <col min="12503" max="12503" width="11.125" style="116" customWidth="1"/>
    <col min="12504" max="12504" width="10.625" style="116" customWidth="1"/>
    <col min="12505" max="12505" width="10.875" style="116" customWidth="1"/>
    <col min="12506" max="12506" width="11.125" style="116" customWidth="1"/>
    <col min="12507" max="12743" width="9" style="116"/>
    <col min="12744" max="12744" width="3.625" style="116" customWidth="1"/>
    <col min="12745" max="12745" width="51.25" style="116" customWidth="1"/>
    <col min="12746" max="12746" width="0" style="116" hidden="1" customWidth="1"/>
    <col min="12747" max="12747" width="13.125" style="116" customWidth="1"/>
    <col min="12748" max="12748" width="11.625" style="116" customWidth="1"/>
    <col min="12749" max="12749" width="11" style="116" customWidth="1"/>
    <col min="12750" max="12750" width="11.875" style="116" customWidth="1"/>
    <col min="12751" max="12751" width="10.5" style="116" customWidth="1"/>
    <col min="12752" max="12752" width="10.625" style="116" customWidth="1"/>
    <col min="12753" max="12753" width="10" style="116" customWidth="1"/>
    <col min="12754" max="12754" width="0" style="116" hidden="1" customWidth="1"/>
    <col min="12755" max="12755" width="11.75" style="116" customWidth="1"/>
    <col min="12756" max="12756" width="21" style="116" customWidth="1"/>
    <col min="12757" max="12757" width="10.75" style="116" customWidth="1"/>
    <col min="12758" max="12758" width="11.125" style="116" bestFit="1" customWidth="1"/>
    <col min="12759" max="12759" width="11.125" style="116" customWidth="1"/>
    <col min="12760" max="12760" width="10.625" style="116" customWidth="1"/>
    <col min="12761" max="12761" width="10.875" style="116" customWidth="1"/>
    <col min="12762" max="12762" width="11.125" style="116" customWidth="1"/>
    <col min="12763" max="12999" width="9" style="116"/>
    <col min="13000" max="13000" width="3.625" style="116" customWidth="1"/>
    <col min="13001" max="13001" width="51.25" style="116" customWidth="1"/>
    <col min="13002" max="13002" width="0" style="116" hidden="1" customWidth="1"/>
    <col min="13003" max="13003" width="13.125" style="116" customWidth="1"/>
    <col min="13004" max="13004" width="11.625" style="116" customWidth="1"/>
    <col min="13005" max="13005" width="11" style="116" customWidth="1"/>
    <col min="13006" max="13006" width="11.875" style="116" customWidth="1"/>
    <col min="13007" max="13007" width="10.5" style="116" customWidth="1"/>
    <col min="13008" max="13008" width="10.625" style="116" customWidth="1"/>
    <col min="13009" max="13009" width="10" style="116" customWidth="1"/>
    <col min="13010" max="13010" width="0" style="116" hidden="1" customWidth="1"/>
    <col min="13011" max="13011" width="11.75" style="116" customWidth="1"/>
    <col min="13012" max="13012" width="21" style="116" customWidth="1"/>
    <col min="13013" max="13013" width="10.75" style="116" customWidth="1"/>
    <col min="13014" max="13014" width="11.125" style="116" bestFit="1" customWidth="1"/>
    <col min="13015" max="13015" width="11.125" style="116" customWidth="1"/>
    <col min="13016" max="13016" width="10.625" style="116" customWidth="1"/>
    <col min="13017" max="13017" width="10.875" style="116" customWidth="1"/>
    <col min="13018" max="13018" width="11.125" style="116" customWidth="1"/>
    <col min="13019" max="13255" width="9" style="116"/>
    <col min="13256" max="13256" width="3.625" style="116" customWidth="1"/>
    <col min="13257" max="13257" width="51.25" style="116" customWidth="1"/>
    <col min="13258" max="13258" width="0" style="116" hidden="1" customWidth="1"/>
    <col min="13259" max="13259" width="13.125" style="116" customWidth="1"/>
    <col min="13260" max="13260" width="11.625" style="116" customWidth="1"/>
    <col min="13261" max="13261" width="11" style="116" customWidth="1"/>
    <col min="13262" max="13262" width="11.875" style="116" customWidth="1"/>
    <col min="13263" max="13263" width="10.5" style="116" customWidth="1"/>
    <col min="13264" max="13264" width="10.625" style="116" customWidth="1"/>
    <col min="13265" max="13265" width="10" style="116" customWidth="1"/>
    <col min="13266" max="13266" width="0" style="116" hidden="1" customWidth="1"/>
    <col min="13267" max="13267" width="11.75" style="116" customWidth="1"/>
    <col min="13268" max="13268" width="21" style="116" customWidth="1"/>
    <col min="13269" max="13269" width="10.75" style="116" customWidth="1"/>
    <col min="13270" max="13270" width="11.125" style="116" bestFit="1" customWidth="1"/>
    <col min="13271" max="13271" width="11.125" style="116" customWidth="1"/>
    <col min="13272" max="13272" width="10.625" style="116" customWidth="1"/>
    <col min="13273" max="13273" width="10.875" style="116" customWidth="1"/>
    <col min="13274" max="13274" width="11.125" style="116" customWidth="1"/>
    <col min="13275" max="13511" width="9" style="116"/>
    <col min="13512" max="13512" width="3.625" style="116" customWidth="1"/>
    <col min="13513" max="13513" width="51.25" style="116" customWidth="1"/>
    <col min="13514" max="13514" width="0" style="116" hidden="1" customWidth="1"/>
    <col min="13515" max="13515" width="13.125" style="116" customWidth="1"/>
    <col min="13516" max="13516" width="11.625" style="116" customWidth="1"/>
    <col min="13517" max="13517" width="11" style="116" customWidth="1"/>
    <col min="13518" max="13518" width="11.875" style="116" customWidth="1"/>
    <col min="13519" max="13519" width="10.5" style="116" customWidth="1"/>
    <col min="13520" max="13520" width="10.625" style="116" customWidth="1"/>
    <col min="13521" max="13521" width="10" style="116" customWidth="1"/>
    <col min="13522" max="13522" width="0" style="116" hidden="1" customWidth="1"/>
    <col min="13523" max="13523" width="11.75" style="116" customWidth="1"/>
    <col min="13524" max="13524" width="21" style="116" customWidth="1"/>
    <col min="13525" max="13525" width="10.75" style="116" customWidth="1"/>
    <col min="13526" max="13526" width="11.125" style="116" bestFit="1" customWidth="1"/>
    <col min="13527" max="13527" width="11.125" style="116" customWidth="1"/>
    <col min="13528" max="13528" width="10.625" style="116" customWidth="1"/>
    <col min="13529" max="13529" width="10.875" style="116" customWidth="1"/>
    <col min="13530" max="13530" width="11.125" style="116" customWidth="1"/>
    <col min="13531" max="13767" width="9" style="116"/>
    <col min="13768" max="13768" width="3.625" style="116" customWidth="1"/>
    <col min="13769" max="13769" width="51.25" style="116" customWidth="1"/>
    <col min="13770" max="13770" width="0" style="116" hidden="1" customWidth="1"/>
    <col min="13771" max="13771" width="13.125" style="116" customWidth="1"/>
    <col min="13772" max="13772" width="11.625" style="116" customWidth="1"/>
    <col min="13773" max="13773" width="11" style="116" customWidth="1"/>
    <col min="13774" max="13774" width="11.875" style="116" customWidth="1"/>
    <col min="13775" max="13775" width="10.5" style="116" customWidth="1"/>
    <col min="13776" max="13776" width="10.625" style="116" customWidth="1"/>
    <col min="13777" max="13777" width="10" style="116" customWidth="1"/>
    <col min="13778" max="13778" width="0" style="116" hidden="1" customWidth="1"/>
    <col min="13779" max="13779" width="11.75" style="116" customWidth="1"/>
    <col min="13780" max="13780" width="21" style="116" customWidth="1"/>
    <col min="13781" max="13781" width="10.75" style="116" customWidth="1"/>
    <col min="13782" max="13782" width="11.125" style="116" bestFit="1" customWidth="1"/>
    <col min="13783" max="13783" width="11.125" style="116" customWidth="1"/>
    <col min="13784" max="13784" width="10.625" style="116" customWidth="1"/>
    <col min="13785" max="13785" width="10.875" style="116" customWidth="1"/>
    <col min="13786" max="13786" width="11.125" style="116" customWidth="1"/>
    <col min="13787" max="14023" width="9" style="116"/>
    <col min="14024" max="14024" width="3.625" style="116" customWidth="1"/>
    <col min="14025" max="14025" width="51.25" style="116" customWidth="1"/>
    <col min="14026" max="14026" width="0" style="116" hidden="1" customWidth="1"/>
    <col min="14027" max="14027" width="13.125" style="116" customWidth="1"/>
    <col min="14028" max="14028" width="11.625" style="116" customWidth="1"/>
    <col min="14029" max="14029" width="11" style="116" customWidth="1"/>
    <col min="14030" max="14030" width="11.875" style="116" customWidth="1"/>
    <col min="14031" max="14031" width="10.5" style="116" customWidth="1"/>
    <col min="14032" max="14032" width="10.625" style="116" customWidth="1"/>
    <col min="14033" max="14033" width="10" style="116" customWidth="1"/>
    <col min="14034" max="14034" width="0" style="116" hidden="1" customWidth="1"/>
    <col min="14035" max="14035" width="11.75" style="116" customWidth="1"/>
    <col min="14036" max="14036" width="21" style="116" customWidth="1"/>
    <col min="14037" max="14037" width="10.75" style="116" customWidth="1"/>
    <col min="14038" max="14038" width="11.125" style="116" bestFit="1" customWidth="1"/>
    <col min="14039" max="14039" width="11.125" style="116" customWidth="1"/>
    <col min="14040" max="14040" width="10.625" style="116" customWidth="1"/>
    <col min="14041" max="14041" width="10.875" style="116" customWidth="1"/>
    <col min="14042" max="14042" width="11.125" style="116" customWidth="1"/>
    <col min="14043" max="14279" width="9" style="116"/>
    <col min="14280" max="14280" width="3.625" style="116" customWidth="1"/>
    <col min="14281" max="14281" width="51.25" style="116" customWidth="1"/>
    <col min="14282" max="14282" width="0" style="116" hidden="1" customWidth="1"/>
    <col min="14283" max="14283" width="13.125" style="116" customWidth="1"/>
    <col min="14284" max="14284" width="11.625" style="116" customWidth="1"/>
    <col min="14285" max="14285" width="11" style="116" customWidth="1"/>
    <col min="14286" max="14286" width="11.875" style="116" customWidth="1"/>
    <col min="14287" max="14287" width="10.5" style="116" customWidth="1"/>
    <col min="14288" max="14288" width="10.625" style="116" customWidth="1"/>
    <col min="14289" max="14289" width="10" style="116" customWidth="1"/>
    <col min="14290" max="14290" width="0" style="116" hidden="1" customWidth="1"/>
    <col min="14291" max="14291" width="11.75" style="116" customWidth="1"/>
    <col min="14292" max="14292" width="21" style="116" customWidth="1"/>
    <col min="14293" max="14293" width="10.75" style="116" customWidth="1"/>
    <col min="14294" max="14294" width="11.125" style="116" bestFit="1" customWidth="1"/>
    <col min="14295" max="14295" width="11.125" style="116" customWidth="1"/>
    <col min="14296" max="14296" width="10.625" style="116" customWidth="1"/>
    <col min="14297" max="14297" width="10.875" style="116" customWidth="1"/>
    <col min="14298" max="14298" width="11.125" style="116" customWidth="1"/>
    <col min="14299" max="14535" width="9" style="116"/>
    <col min="14536" max="14536" width="3.625" style="116" customWidth="1"/>
    <col min="14537" max="14537" width="51.25" style="116" customWidth="1"/>
    <col min="14538" max="14538" width="0" style="116" hidden="1" customWidth="1"/>
    <col min="14539" max="14539" width="13.125" style="116" customWidth="1"/>
    <col min="14540" max="14540" width="11.625" style="116" customWidth="1"/>
    <col min="14541" max="14541" width="11" style="116" customWidth="1"/>
    <col min="14542" max="14542" width="11.875" style="116" customWidth="1"/>
    <col min="14543" max="14543" width="10.5" style="116" customWidth="1"/>
    <col min="14544" max="14544" width="10.625" style="116" customWidth="1"/>
    <col min="14545" max="14545" width="10" style="116" customWidth="1"/>
    <col min="14546" max="14546" width="0" style="116" hidden="1" customWidth="1"/>
    <col min="14547" max="14547" width="11.75" style="116" customWidth="1"/>
    <col min="14548" max="14548" width="21" style="116" customWidth="1"/>
    <col min="14549" max="14549" width="10.75" style="116" customWidth="1"/>
    <col min="14550" max="14550" width="11.125" style="116" bestFit="1" customWidth="1"/>
    <col min="14551" max="14551" width="11.125" style="116" customWidth="1"/>
    <col min="14552" max="14552" width="10.625" style="116" customWidth="1"/>
    <col min="14553" max="14553" width="10.875" style="116" customWidth="1"/>
    <col min="14554" max="14554" width="11.125" style="116" customWidth="1"/>
    <col min="14555" max="14791" width="9" style="116"/>
    <col min="14792" max="14792" width="3.625" style="116" customWidth="1"/>
    <col min="14793" max="14793" width="51.25" style="116" customWidth="1"/>
    <col min="14794" max="14794" width="0" style="116" hidden="1" customWidth="1"/>
    <col min="14795" max="14795" width="13.125" style="116" customWidth="1"/>
    <col min="14796" max="14796" width="11.625" style="116" customWidth="1"/>
    <col min="14797" max="14797" width="11" style="116" customWidth="1"/>
    <col min="14798" max="14798" width="11.875" style="116" customWidth="1"/>
    <col min="14799" max="14799" width="10.5" style="116" customWidth="1"/>
    <col min="14800" max="14800" width="10.625" style="116" customWidth="1"/>
    <col min="14801" max="14801" width="10" style="116" customWidth="1"/>
    <col min="14802" max="14802" width="0" style="116" hidden="1" customWidth="1"/>
    <col min="14803" max="14803" width="11.75" style="116" customWidth="1"/>
    <col min="14804" max="14804" width="21" style="116" customWidth="1"/>
    <col min="14805" max="14805" width="10.75" style="116" customWidth="1"/>
    <col min="14806" max="14806" width="11.125" style="116" bestFit="1" customWidth="1"/>
    <col min="14807" max="14807" width="11.125" style="116" customWidth="1"/>
    <col min="14808" max="14808" width="10.625" style="116" customWidth="1"/>
    <col min="14809" max="14809" width="10.875" style="116" customWidth="1"/>
    <col min="14810" max="14810" width="11.125" style="116" customWidth="1"/>
    <col min="14811" max="15047" width="9" style="116"/>
    <col min="15048" max="15048" width="3.625" style="116" customWidth="1"/>
    <col min="15049" max="15049" width="51.25" style="116" customWidth="1"/>
    <col min="15050" max="15050" width="0" style="116" hidden="1" customWidth="1"/>
    <col min="15051" max="15051" width="13.125" style="116" customWidth="1"/>
    <col min="15052" max="15052" width="11.625" style="116" customWidth="1"/>
    <col min="15053" max="15053" width="11" style="116" customWidth="1"/>
    <col min="15054" max="15054" width="11.875" style="116" customWidth="1"/>
    <col min="15055" max="15055" width="10.5" style="116" customWidth="1"/>
    <col min="15056" max="15056" width="10.625" style="116" customWidth="1"/>
    <col min="15057" max="15057" width="10" style="116" customWidth="1"/>
    <col min="15058" max="15058" width="0" style="116" hidden="1" customWidth="1"/>
    <col min="15059" max="15059" width="11.75" style="116" customWidth="1"/>
    <col min="15060" max="15060" width="21" style="116" customWidth="1"/>
    <col min="15061" max="15061" width="10.75" style="116" customWidth="1"/>
    <col min="15062" max="15062" width="11.125" style="116" bestFit="1" customWidth="1"/>
    <col min="15063" max="15063" width="11.125" style="116" customWidth="1"/>
    <col min="15064" max="15064" width="10.625" style="116" customWidth="1"/>
    <col min="15065" max="15065" width="10.875" style="116" customWidth="1"/>
    <col min="15066" max="15066" width="11.125" style="116" customWidth="1"/>
    <col min="15067" max="15303" width="9" style="116"/>
    <col min="15304" max="15304" width="3.625" style="116" customWidth="1"/>
    <col min="15305" max="15305" width="51.25" style="116" customWidth="1"/>
    <col min="15306" max="15306" width="0" style="116" hidden="1" customWidth="1"/>
    <col min="15307" max="15307" width="13.125" style="116" customWidth="1"/>
    <col min="15308" max="15308" width="11.625" style="116" customWidth="1"/>
    <col min="15309" max="15309" width="11" style="116" customWidth="1"/>
    <col min="15310" max="15310" width="11.875" style="116" customWidth="1"/>
    <col min="15311" max="15311" width="10.5" style="116" customWidth="1"/>
    <col min="15312" max="15312" width="10.625" style="116" customWidth="1"/>
    <col min="15313" max="15313" width="10" style="116" customWidth="1"/>
    <col min="15314" max="15314" width="0" style="116" hidden="1" customWidth="1"/>
    <col min="15315" max="15315" width="11.75" style="116" customWidth="1"/>
    <col min="15316" max="15316" width="21" style="116" customWidth="1"/>
    <col min="15317" max="15317" width="10.75" style="116" customWidth="1"/>
    <col min="15318" max="15318" width="11.125" style="116" bestFit="1" customWidth="1"/>
    <col min="15319" max="15319" width="11.125" style="116" customWidth="1"/>
    <col min="15320" max="15320" width="10.625" style="116" customWidth="1"/>
    <col min="15321" max="15321" width="10.875" style="116" customWidth="1"/>
    <col min="15322" max="15322" width="11.125" style="116" customWidth="1"/>
    <col min="15323" max="15559" width="9" style="116"/>
    <col min="15560" max="15560" width="3.625" style="116" customWidth="1"/>
    <col min="15561" max="15561" width="51.25" style="116" customWidth="1"/>
    <col min="15562" max="15562" width="0" style="116" hidden="1" customWidth="1"/>
    <col min="15563" max="15563" width="13.125" style="116" customWidth="1"/>
    <col min="15564" max="15564" width="11.625" style="116" customWidth="1"/>
    <col min="15565" max="15565" width="11" style="116" customWidth="1"/>
    <col min="15566" max="15566" width="11.875" style="116" customWidth="1"/>
    <col min="15567" max="15567" width="10.5" style="116" customWidth="1"/>
    <col min="15568" max="15568" width="10.625" style="116" customWidth="1"/>
    <col min="15569" max="15569" width="10" style="116" customWidth="1"/>
    <col min="15570" max="15570" width="0" style="116" hidden="1" customWidth="1"/>
    <col min="15571" max="15571" width="11.75" style="116" customWidth="1"/>
    <col min="15572" max="15572" width="21" style="116" customWidth="1"/>
    <col min="15573" max="15573" width="10.75" style="116" customWidth="1"/>
    <col min="15574" max="15574" width="11.125" style="116" bestFit="1" customWidth="1"/>
    <col min="15575" max="15575" width="11.125" style="116" customWidth="1"/>
    <col min="15576" max="15576" width="10.625" style="116" customWidth="1"/>
    <col min="15577" max="15577" width="10.875" style="116" customWidth="1"/>
    <col min="15578" max="15578" width="11.125" style="116" customWidth="1"/>
    <col min="15579" max="15815" width="9" style="116"/>
    <col min="15816" max="15816" width="3.625" style="116" customWidth="1"/>
    <col min="15817" max="15817" width="51.25" style="116" customWidth="1"/>
    <col min="15818" max="15818" width="0" style="116" hidden="1" customWidth="1"/>
    <col min="15819" max="15819" width="13.125" style="116" customWidth="1"/>
    <col min="15820" max="15820" width="11.625" style="116" customWidth="1"/>
    <col min="15821" max="15821" width="11" style="116" customWidth="1"/>
    <col min="15822" max="15822" width="11.875" style="116" customWidth="1"/>
    <col min="15823" max="15823" width="10.5" style="116" customWidth="1"/>
    <col min="15824" max="15824" width="10.625" style="116" customWidth="1"/>
    <col min="15825" max="15825" width="10" style="116" customWidth="1"/>
    <col min="15826" max="15826" width="0" style="116" hidden="1" customWidth="1"/>
    <col min="15827" max="15827" width="11.75" style="116" customWidth="1"/>
    <col min="15828" max="15828" width="21" style="116" customWidth="1"/>
    <col min="15829" max="15829" width="10.75" style="116" customWidth="1"/>
    <col min="15830" max="15830" width="11.125" style="116" bestFit="1" customWidth="1"/>
    <col min="15831" max="15831" width="11.125" style="116" customWidth="1"/>
    <col min="15832" max="15832" width="10.625" style="116" customWidth="1"/>
    <col min="15833" max="15833" width="10.875" style="116" customWidth="1"/>
    <col min="15834" max="15834" width="11.125" style="116" customWidth="1"/>
    <col min="15835" max="16071" width="9" style="116"/>
    <col min="16072" max="16072" width="3.625" style="116" customWidth="1"/>
    <col min="16073" max="16073" width="51.25" style="116" customWidth="1"/>
    <col min="16074" max="16074" width="0" style="116" hidden="1" customWidth="1"/>
    <col min="16075" max="16075" width="13.125" style="116" customWidth="1"/>
    <col min="16076" max="16076" width="11.625" style="116" customWidth="1"/>
    <col min="16077" max="16077" width="11" style="116" customWidth="1"/>
    <col min="16078" max="16078" width="11.875" style="116" customWidth="1"/>
    <col min="16079" max="16079" width="10.5" style="116" customWidth="1"/>
    <col min="16080" max="16080" width="10.625" style="116" customWidth="1"/>
    <col min="16081" max="16081" width="10" style="116" customWidth="1"/>
    <col min="16082" max="16082" width="0" style="116" hidden="1" customWidth="1"/>
    <col min="16083" max="16083" width="11.75" style="116" customWidth="1"/>
    <col min="16084" max="16084" width="21" style="116" customWidth="1"/>
    <col min="16085" max="16085" width="10.75" style="116" customWidth="1"/>
    <col min="16086" max="16086" width="11.125" style="116" bestFit="1" customWidth="1"/>
    <col min="16087" max="16087" width="11.125" style="116" customWidth="1"/>
    <col min="16088" max="16088" width="10.625" style="116" customWidth="1"/>
    <col min="16089" max="16089" width="10.875" style="116" customWidth="1"/>
    <col min="16090" max="16090" width="11.125" style="116" customWidth="1"/>
    <col min="16091" max="16323" width="9" style="116"/>
    <col min="16324" max="16343" width="8" style="116" customWidth="1"/>
    <col min="16344" max="16357" width="9" style="116"/>
    <col min="16358" max="16384" width="9" style="116" customWidth="1"/>
  </cols>
  <sheetData>
    <row r="1" spans="1:5">
      <c r="A1" s="543" t="s">
        <v>1653</v>
      </c>
      <c r="B1" s="115"/>
      <c r="C1" s="115"/>
      <c r="D1" s="115"/>
      <c r="E1" s="115"/>
    </row>
    <row r="2" spans="1:5" s="44" customFormat="1">
      <c r="A2" s="49" t="s">
        <v>1589</v>
      </c>
      <c r="B2" s="45"/>
      <c r="C2" s="544"/>
      <c r="D2" s="47"/>
      <c r="E2" s="544"/>
    </row>
    <row r="3" spans="1:5" s="548" customFormat="1">
      <c r="A3" s="545"/>
      <c r="B3" s="546"/>
      <c r="C3" s="545"/>
      <c r="D3" s="547"/>
      <c r="E3" s="549" t="s">
        <v>650</v>
      </c>
    </row>
    <row r="4" spans="1:5" ht="27" customHeight="1">
      <c r="A4" s="534" t="s">
        <v>469</v>
      </c>
      <c r="B4" s="530" t="s">
        <v>618</v>
      </c>
      <c r="C4" s="538" t="s">
        <v>641</v>
      </c>
      <c r="D4" s="538" t="s">
        <v>1621</v>
      </c>
      <c r="E4" s="538" t="s">
        <v>730</v>
      </c>
    </row>
    <row r="5" spans="1:5" s="115" customFormat="1" ht="27" customHeight="1">
      <c r="A5" s="568" t="s">
        <v>556</v>
      </c>
      <c r="B5" s="563" t="s">
        <v>1793</v>
      </c>
      <c r="C5" s="569">
        <f>SUBTOTAL(9,C6:C13)</f>
        <v>1160000</v>
      </c>
      <c r="D5" s="569">
        <f>SUBTOTAL(9,D6:D13)</f>
        <v>1436922.33</v>
      </c>
      <c r="E5" s="569">
        <f>SUBTOTAL(9,E6:E13)</f>
        <v>276922.33000000013</v>
      </c>
    </row>
    <row r="6" spans="1:5" ht="27" customHeight="1">
      <c r="A6" s="527">
        <v>1</v>
      </c>
      <c r="B6" s="531" t="s">
        <v>619</v>
      </c>
      <c r="C6" s="539">
        <f>SUBTOTAL(9,C7:C8)</f>
        <v>455400</v>
      </c>
      <c r="D6" s="539">
        <f>SUBTOTAL(9,D7:D8)</f>
        <v>473616</v>
      </c>
      <c r="E6" s="539">
        <f>SUBTOTAL(9,E7:E8)</f>
        <v>18216</v>
      </c>
    </row>
    <row r="7" spans="1:5" s="117" customFormat="1" ht="27" customHeight="1">
      <c r="A7" s="532" t="s">
        <v>34</v>
      </c>
      <c r="B7" s="533" t="s">
        <v>620</v>
      </c>
      <c r="C7" s="540">
        <v>273240</v>
      </c>
      <c r="D7" s="540">
        <v>284170</v>
      </c>
      <c r="E7" s="540">
        <f t="shared" ref="E7:E19" si="0">D7-C7</f>
        <v>10930</v>
      </c>
    </row>
    <row r="8" spans="1:5" s="117" customFormat="1" ht="27" customHeight="1">
      <c r="A8" s="532" t="s">
        <v>34</v>
      </c>
      <c r="B8" s="533" t="s">
        <v>621</v>
      </c>
      <c r="C8" s="540">
        <v>182160</v>
      </c>
      <c r="D8" s="540">
        <v>189446</v>
      </c>
      <c r="E8" s="540">
        <f t="shared" si="0"/>
        <v>7286</v>
      </c>
    </row>
    <row r="9" spans="1:5" ht="27" customHeight="1">
      <c r="A9" s="527">
        <v>2</v>
      </c>
      <c r="B9" s="531" t="s">
        <v>622</v>
      </c>
      <c r="C9" s="539">
        <f>SUBTOTAL(9,C10:C11)</f>
        <v>622100</v>
      </c>
      <c r="D9" s="539">
        <f>SUBTOTAL(9,D10:D11)</f>
        <v>919306.33000000007</v>
      </c>
      <c r="E9" s="539">
        <f>SUBTOTAL(9,E10:E11)</f>
        <v>297206.33000000013</v>
      </c>
    </row>
    <row r="10" spans="1:5" s="117" customFormat="1" ht="27" customHeight="1">
      <c r="A10" s="532" t="s">
        <v>16</v>
      </c>
      <c r="B10" s="533" t="s">
        <v>623</v>
      </c>
      <c r="C10" s="540">
        <v>272669</v>
      </c>
      <c r="D10" s="539">
        <f>'Tien dat 2019'!N12</f>
        <v>339100.84</v>
      </c>
      <c r="E10" s="540">
        <f t="shared" si="0"/>
        <v>66431.840000000026</v>
      </c>
    </row>
    <row r="11" spans="1:5" s="117" customFormat="1" ht="27" customHeight="1">
      <c r="A11" s="532" t="s">
        <v>16</v>
      </c>
      <c r="B11" s="533" t="s">
        <v>640</v>
      </c>
      <c r="C11" s="540">
        <v>349431</v>
      </c>
      <c r="D11" s="540">
        <f>'Tien dat 2019'!M12</f>
        <v>580205.49000000011</v>
      </c>
      <c r="E11" s="540">
        <f t="shared" si="0"/>
        <v>230774.49000000011</v>
      </c>
    </row>
    <row r="12" spans="1:5" ht="27" customHeight="1">
      <c r="A12" s="527">
        <v>3</v>
      </c>
      <c r="B12" s="531" t="s">
        <v>624</v>
      </c>
      <c r="C12" s="541">
        <v>40000</v>
      </c>
      <c r="D12" s="541">
        <v>44000</v>
      </c>
      <c r="E12" s="541">
        <f t="shared" si="0"/>
        <v>4000</v>
      </c>
    </row>
    <row r="13" spans="1:5" ht="27" customHeight="1">
      <c r="A13" s="527">
        <v>4</v>
      </c>
      <c r="B13" s="531" t="s">
        <v>637</v>
      </c>
      <c r="C13" s="541">
        <v>42500</v>
      </c>
      <c r="D13" s="541"/>
      <c r="E13" s="541">
        <f t="shared" si="0"/>
        <v>-42500</v>
      </c>
    </row>
    <row r="14" spans="1:5" ht="27" customHeight="1">
      <c r="A14" s="527">
        <v>5</v>
      </c>
      <c r="B14" s="531" t="s">
        <v>1652</v>
      </c>
      <c r="C14" s="541">
        <v>0</v>
      </c>
      <c r="D14" s="541">
        <v>0</v>
      </c>
      <c r="E14" s="541">
        <f t="shared" si="0"/>
        <v>0</v>
      </c>
    </row>
    <row r="15" spans="1:5" ht="27" customHeight="1">
      <c r="A15" s="568" t="s">
        <v>556</v>
      </c>
      <c r="B15" s="563" t="s">
        <v>1794</v>
      </c>
      <c r="C15" s="569">
        <v>1160000</v>
      </c>
      <c r="D15" s="569">
        <f>D16+D21</f>
        <v>1436922.33</v>
      </c>
      <c r="E15" s="569">
        <f t="shared" si="0"/>
        <v>276922.33000000007</v>
      </c>
    </row>
    <row r="16" spans="1:5" s="115" customFormat="1" ht="27" customHeight="1">
      <c r="A16" s="534" t="s">
        <v>471</v>
      </c>
      <c r="B16" s="537" t="s">
        <v>728</v>
      </c>
      <c r="C16" s="542">
        <v>628409</v>
      </c>
      <c r="D16" s="542">
        <f>SUBTOTAL(9,D17:D20)</f>
        <v>667270.84000000008</v>
      </c>
      <c r="E16" s="542">
        <f t="shared" si="0"/>
        <v>38861.840000000084</v>
      </c>
    </row>
    <row r="17" spans="1:5" ht="27" customHeight="1">
      <c r="A17" s="527">
        <v>1</v>
      </c>
      <c r="B17" s="531" t="s">
        <v>619</v>
      </c>
      <c r="C17" s="539">
        <v>273240</v>
      </c>
      <c r="D17" s="539">
        <f>D7</f>
        <v>284170</v>
      </c>
      <c r="E17" s="539">
        <f t="shared" si="0"/>
        <v>10930</v>
      </c>
    </row>
    <row r="18" spans="1:5" ht="27" customHeight="1">
      <c r="A18" s="527">
        <v>2</v>
      </c>
      <c r="B18" s="531" t="s">
        <v>622</v>
      </c>
      <c r="C18" s="541">
        <v>272669</v>
      </c>
      <c r="D18" s="539">
        <f>D10</f>
        <v>339100.84</v>
      </c>
      <c r="E18" s="541">
        <f t="shared" si="0"/>
        <v>66431.840000000026</v>
      </c>
    </row>
    <row r="19" spans="1:5" ht="27" customHeight="1">
      <c r="A19" s="527">
        <v>3</v>
      </c>
      <c r="B19" s="531" t="s">
        <v>624</v>
      </c>
      <c r="C19" s="541">
        <v>40000</v>
      </c>
      <c r="D19" s="539">
        <f>D12</f>
        <v>44000</v>
      </c>
      <c r="E19" s="541">
        <f t="shared" si="0"/>
        <v>4000</v>
      </c>
    </row>
    <row r="20" spans="1:5" ht="27" customHeight="1">
      <c r="A20" s="527">
        <v>4</v>
      </c>
      <c r="B20" s="531" t="s">
        <v>637</v>
      </c>
      <c r="C20" s="541">
        <v>42500</v>
      </c>
      <c r="D20" s="541"/>
      <c r="E20" s="541">
        <f t="shared" ref="E20" si="1">D20-C20</f>
        <v>-42500</v>
      </c>
    </row>
    <row r="21" spans="1:5" s="115" customFormat="1" ht="27" customHeight="1">
      <c r="A21" s="534" t="s">
        <v>472</v>
      </c>
      <c r="B21" s="535" t="s">
        <v>729</v>
      </c>
      <c r="C21" s="542">
        <f>SUBTOTAL(9,C22:C23)</f>
        <v>531591</v>
      </c>
      <c r="D21" s="542">
        <f>SUBTOTAL(9,D22:D23)</f>
        <v>769651.49000000011</v>
      </c>
      <c r="E21" s="542">
        <f>SUBTOTAL(9,E22:E23)</f>
        <v>238060.49000000011</v>
      </c>
    </row>
    <row r="22" spans="1:5" ht="27" customHeight="1">
      <c r="A22" s="527">
        <v>1</v>
      </c>
      <c r="B22" s="531" t="s">
        <v>619</v>
      </c>
      <c r="C22" s="541">
        <v>182160</v>
      </c>
      <c r="D22" s="541">
        <f>D8</f>
        <v>189446</v>
      </c>
      <c r="E22" s="541">
        <f>D22-C22</f>
        <v>7286</v>
      </c>
    </row>
    <row r="23" spans="1:5" ht="27" customHeight="1">
      <c r="A23" s="527">
        <v>2</v>
      </c>
      <c r="B23" s="531" t="s">
        <v>622</v>
      </c>
      <c r="C23" s="541">
        <v>349431</v>
      </c>
      <c r="D23" s="541">
        <f>D11</f>
        <v>580205.49000000011</v>
      </c>
      <c r="E23" s="541">
        <f>D23-C23</f>
        <v>230774.49000000011</v>
      </c>
    </row>
  </sheetData>
  <printOptions horizontalCentered="1"/>
  <pageMargins left="0.7" right="0.7" top="0.75" bottom="0.75" header="0.3" footer="0.3"/>
  <pageSetup paperSize="9" scale="87" fitToHeight="0"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6"/>
  <sheetViews>
    <sheetView topLeftCell="A25" zoomScale="70" zoomScaleNormal="70" workbookViewId="0">
      <selection activeCell="B33" sqref="B33"/>
    </sheetView>
  </sheetViews>
  <sheetFormatPr defaultColWidth="9" defaultRowHeight="15.75"/>
  <cols>
    <col min="1" max="1" width="3.375" style="683" bestFit="1" customWidth="1"/>
    <col min="2" max="2" width="50.625" style="684" customWidth="1"/>
    <col min="3" max="3" width="13.25" style="672" customWidth="1"/>
    <col min="4" max="4" width="13.25" style="552" customWidth="1"/>
    <col min="5" max="5" width="6.75" style="706" customWidth="1"/>
    <col min="6" max="6" width="9.125" style="685" bestFit="1" customWidth="1"/>
    <col min="7" max="7" width="10.625" style="683" customWidth="1"/>
    <col min="8" max="16384" width="9" style="672"/>
  </cols>
  <sheetData>
    <row r="1" spans="1:10" s="34" customFormat="1">
      <c r="A1" s="114" t="s">
        <v>1798</v>
      </c>
      <c r="B1" s="114"/>
      <c r="C1" s="114"/>
      <c r="D1" s="523"/>
      <c r="E1" s="701"/>
      <c r="F1" s="114"/>
      <c r="G1" s="81">
        <f>D6-D7</f>
        <v>0</v>
      </c>
    </row>
    <row r="2" spans="1:10" s="49" customFormat="1">
      <c r="A2" s="49" t="s">
        <v>1589</v>
      </c>
      <c r="B2" s="50"/>
      <c r="C2" s="73"/>
      <c r="D2" s="524"/>
      <c r="E2" s="702"/>
      <c r="F2" s="52"/>
      <c r="G2" s="73"/>
    </row>
    <row r="3" spans="1:10" s="49" customFormat="1">
      <c r="B3" s="50"/>
      <c r="C3" s="73"/>
      <c r="D3" s="524"/>
      <c r="E3" s="702"/>
      <c r="F3" s="52"/>
      <c r="G3" s="73"/>
    </row>
    <row r="4" spans="1:10" s="87" customFormat="1">
      <c r="B4" s="88"/>
      <c r="C4" s="89"/>
      <c r="D4" s="525"/>
      <c r="E4" s="703"/>
      <c r="F4" s="91"/>
      <c r="G4" s="93" t="s">
        <v>650</v>
      </c>
    </row>
    <row r="5" spans="1:10" ht="31.5">
      <c r="A5" s="693" t="s">
        <v>469</v>
      </c>
      <c r="B5" s="670" t="s">
        <v>543</v>
      </c>
      <c r="C5" s="692" t="s">
        <v>1623</v>
      </c>
      <c r="D5" s="20" t="s">
        <v>1622</v>
      </c>
      <c r="E5" s="698" t="s">
        <v>1837</v>
      </c>
      <c r="F5" s="671" t="s">
        <v>654</v>
      </c>
      <c r="G5" s="693" t="s">
        <v>4</v>
      </c>
    </row>
    <row r="6" spans="1:10" s="115" customFormat="1">
      <c r="A6" s="673"/>
      <c r="B6" s="674" t="s">
        <v>1795</v>
      </c>
      <c r="C6" s="726">
        <v>628409</v>
      </c>
      <c r="D6" s="726">
        <f>'1NGUON'!D16</f>
        <v>667270.84000000008</v>
      </c>
      <c r="E6" s="698"/>
      <c r="F6" s="726">
        <f t="shared" ref="F6:F7" si="0">D6-C6</f>
        <v>38861.840000000084</v>
      </c>
      <c r="G6" s="726"/>
    </row>
    <row r="7" spans="1:10" s="662" customFormat="1">
      <c r="A7" s="673"/>
      <c r="B7" s="674" t="s">
        <v>656</v>
      </c>
      <c r="C7" s="726">
        <v>628409</v>
      </c>
      <c r="D7" s="726">
        <f>D9+D15+D25</f>
        <v>667270.84000000008</v>
      </c>
      <c r="E7" s="698"/>
      <c r="F7" s="726">
        <f t="shared" si="0"/>
        <v>38861.840000000084</v>
      </c>
      <c r="G7" s="696"/>
    </row>
    <row r="8" spans="1:10">
      <c r="A8" s="677"/>
      <c r="B8" s="490" t="s">
        <v>2102</v>
      </c>
      <c r="C8" s="487">
        <f>C6-C7</f>
        <v>0</v>
      </c>
      <c r="D8" s="487">
        <f>D6-D7</f>
        <v>0</v>
      </c>
      <c r="E8" s="704"/>
      <c r="F8" s="487"/>
      <c r="G8" s="487"/>
    </row>
    <row r="9" spans="1:10">
      <c r="A9" s="675" t="s">
        <v>471</v>
      </c>
      <c r="B9" s="563" t="s">
        <v>544</v>
      </c>
      <c r="C9" s="729">
        <f>C10+C11+C13</f>
        <v>173177.39999999997</v>
      </c>
      <c r="D9" s="729">
        <f>D10+D11+D13</f>
        <v>184901.1</v>
      </c>
      <c r="E9" s="711"/>
      <c r="F9" s="729">
        <f>D9-C9</f>
        <v>11723.700000000041</v>
      </c>
      <c r="G9" s="676"/>
    </row>
    <row r="10" spans="1:10">
      <c r="A10" s="677">
        <v>1</v>
      </c>
      <c r="B10" s="678" t="s">
        <v>704</v>
      </c>
      <c r="C10" s="487">
        <v>21557.8</v>
      </c>
      <c r="D10" s="487">
        <f>'5KHCN'!M8</f>
        <v>19732</v>
      </c>
      <c r="E10" s="704">
        <f>D10/$D$7</f>
        <v>2.9571200803559763E-2</v>
      </c>
      <c r="F10" s="487">
        <f t="shared" ref="F10:F13" si="1">D10-C10</f>
        <v>-1825.7999999999993</v>
      </c>
      <c r="G10" s="677" t="s">
        <v>662</v>
      </c>
    </row>
    <row r="11" spans="1:10">
      <c r="A11" s="677">
        <v>2</v>
      </c>
      <c r="B11" s="678" t="s">
        <v>657</v>
      </c>
      <c r="C11" s="487">
        <v>134124.29999999999</v>
      </c>
      <c r="D11" s="487">
        <f>'6GDDT'!N8</f>
        <v>137604.6</v>
      </c>
      <c r="E11" s="718">
        <f>D11/$D$7</f>
        <v>0.20622001105278329</v>
      </c>
      <c r="F11" s="487">
        <f t="shared" si="1"/>
        <v>3480.3000000000175</v>
      </c>
      <c r="G11" s="677" t="s">
        <v>663</v>
      </c>
      <c r="J11" s="707"/>
    </row>
    <row r="12" spans="1:10" s="681" customFormat="1">
      <c r="A12" s="679" t="s">
        <v>16</v>
      </c>
      <c r="B12" s="680" t="str">
        <f>"Trong đó: Nguồn XSKT ("&amp;(ROUND(D12/'1NGUON'!D19*100,1)&amp;"%)")</f>
        <v>Trong đó: Nguồn XSKT (60%)</v>
      </c>
      <c r="C12" s="730"/>
      <c r="D12" s="730">
        <f>'1NGUON'!D19*0.6</f>
        <v>26400</v>
      </c>
      <c r="E12" s="705"/>
      <c r="F12" s="730"/>
      <c r="G12" s="679"/>
    </row>
    <row r="13" spans="1:10">
      <c r="A13" s="677">
        <v>3</v>
      </c>
      <c r="B13" s="678" t="s">
        <v>658</v>
      </c>
      <c r="C13" s="487">
        <v>17495.3</v>
      </c>
      <c r="D13" s="487">
        <f>'7YTE'!N8</f>
        <v>27564.5</v>
      </c>
      <c r="E13" s="704">
        <f>D13/$D$7</f>
        <v>4.1309313021980695E-2</v>
      </c>
      <c r="F13" s="487">
        <f t="shared" si="1"/>
        <v>10069.200000000001</v>
      </c>
      <c r="G13" s="677" t="s">
        <v>664</v>
      </c>
    </row>
    <row r="14" spans="1:10">
      <c r="A14" s="679" t="s">
        <v>16</v>
      </c>
      <c r="B14" s="680" t="str">
        <f>"Trong đó: Nguồn XSKT ("&amp;(ROUND(D14/'1NGUON'!D19*100,1)&amp;"%)")</f>
        <v>Trong đó: Nguồn XSKT (40%)</v>
      </c>
      <c r="C14" s="730"/>
      <c r="D14" s="730">
        <f>'1NGUON'!D19*0.4</f>
        <v>17600</v>
      </c>
      <c r="E14" s="705"/>
      <c r="F14" s="730"/>
      <c r="G14" s="677"/>
    </row>
    <row r="15" spans="1:10">
      <c r="A15" s="675" t="s">
        <v>472</v>
      </c>
      <c r="B15" s="563" t="s">
        <v>545</v>
      </c>
      <c r="C15" s="729">
        <f>SUM(C16:C24)</f>
        <v>176867.55000000019</v>
      </c>
      <c r="D15" s="729">
        <f>SUM(D16:D24)</f>
        <v>163883.5</v>
      </c>
      <c r="E15" s="711"/>
      <c r="F15" s="729">
        <f t="shared" ref="F15:F23" si="2">D15-C15</f>
        <v>-12984.050000000192</v>
      </c>
      <c r="G15" s="676"/>
    </row>
    <row r="16" spans="1:10">
      <c r="A16" s="677">
        <v>1</v>
      </c>
      <c r="B16" s="490" t="s">
        <v>546</v>
      </c>
      <c r="C16" s="515">
        <f>28533.5500000002</f>
        <v>28533.550000000199</v>
      </c>
      <c r="D16" s="515">
        <f>'8NOXDCB'!M8</f>
        <v>20537</v>
      </c>
      <c r="E16" s="704">
        <f>D16/$D$7</f>
        <v>3.0777607485440242E-2</v>
      </c>
      <c r="F16" s="515">
        <f t="shared" si="2"/>
        <v>-7996.5500000001994</v>
      </c>
      <c r="G16" s="677" t="s">
        <v>665</v>
      </c>
    </row>
    <row r="17" spans="1:7">
      <c r="A17" s="677">
        <v>2</v>
      </c>
      <c r="B17" s="490" t="s">
        <v>547</v>
      </c>
      <c r="C17" s="515">
        <v>60000</v>
      </c>
      <c r="D17" s="515">
        <f>'9 ODA'!M8</f>
        <v>99700.5</v>
      </c>
      <c r="E17" s="704">
        <f>D17/$D$7</f>
        <v>0.14941534085319835</v>
      </c>
      <c r="F17" s="515">
        <f t="shared" si="2"/>
        <v>39700.5</v>
      </c>
      <c r="G17" s="677" t="s">
        <v>666</v>
      </c>
    </row>
    <row r="18" spans="1:7" ht="31.5">
      <c r="A18" s="677">
        <v>3</v>
      </c>
      <c r="B18" s="490" t="s">
        <v>724</v>
      </c>
      <c r="C18" s="515">
        <v>43750</v>
      </c>
      <c r="D18" s="515">
        <v>10000</v>
      </c>
      <c r="E18" s="712"/>
      <c r="F18" s="515">
        <f t="shared" si="2"/>
        <v>-33750</v>
      </c>
      <c r="G18" s="677"/>
    </row>
    <row r="19" spans="1:7" ht="31.5">
      <c r="A19" s="677">
        <v>4</v>
      </c>
      <c r="B19" s="682" t="s">
        <v>644</v>
      </c>
      <c r="C19" s="487">
        <v>20000</v>
      </c>
      <c r="D19" s="487">
        <f>'10ChaLo'!M8</f>
        <v>21716</v>
      </c>
      <c r="E19" s="704"/>
      <c r="F19" s="487">
        <f t="shared" si="2"/>
        <v>1716</v>
      </c>
      <c r="G19" s="677" t="s">
        <v>660</v>
      </c>
    </row>
    <row r="20" spans="1:7">
      <c r="A20" s="677">
        <v>5</v>
      </c>
      <c r="B20" s="678" t="s">
        <v>645</v>
      </c>
      <c r="C20" s="515">
        <v>7635.8</v>
      </c>
      <c r="D20" s="515">
        <f>'11PNKB'!M8</f>
        <v>3930</v>
      </c>
      <c r="E20" s="712"/>
      <c r="F20" s="515">
        <f t="shared" si="2"/>
        <v>-3705.8</v>
      </c>
      <c r="G20" s="677" t="s">
        <v>667</v>
      </c>
    </row>
    <row r="21" spans="1:7">
      <c r="A21" s="677">
        <v>6</v>
      </c>
      <c r="B21" s="490" t="s">
        <v>548</v>
      </c>
      <c r="C21" s="515">
        <v>1000</v>
      </c>
      <c r="D21" s="515">
        <v>1000</v>
      </c>
      <c r="E21" s="712"/>
      <c r="F21" s="515">
        <f t="shared" si="2"/>
        <v>0</v>
      </c>
      <c r="G21" s="677"/>
    </row>
    <row r="22" spans="1:7">
      <c r="A22" s="677">
        <v>7</v>
      </c>
      <c r="B22" s="490" t="s">
        <v>549</v>
      </c>
      <c r="C22" s="487">
        <v>5000</v>
      </c>
      <c r="D22" s="515">
        <v>0</v>
      </c>
      <c r="E22" s="712"/>
      <c r="F22" s="515">
        <f t="shared" si="2"/>
        <v>-5000</v>
      </c>
      <c r="G22" s="677"/>
    </row>
    <row r="23" spans="1:7">
      <c r="A23" s="677">
        <v>8</v>
      </c>
      <c r="B23" s="490" t="s">
        <v>725</v>
      </c>
      <c r="C23" s="515">
        <v>10948.2</v>
      </c>
      <c r="D23" s="515">
        <f>'12PCNST'!M8</f>
        <v>7000</v>
      </c>
      <c r="E23" s="712"/>
      <c r="F23" s="515">
        <f t="shared" si="2"/>
        <v>-3948.2000000000007</v>
      </c>
      <c r="G23" s="677" t="s">
        <v>668</v>
      </c>
    </row>
    <row r="24" spans="1:7">
      <c r="A24" s="677">
        <v>9</v>
      </c>
      <c r="B24" s="490" t="s">
        <v>669</v>
      </c>
      <c r="C24" s="515">
        <v>0</v>
      </c>
      <c r="D24" s="515">
        <v>0</v>
      </c>
      <c r="E24" s="712"/>
      <c r="F24" s="515">
        <f>D24-C24</f>
        <v>0</v>
      </c>
      <c r="G24" s="677"/>
    </row>
    <row r="25" spans="1:7" ht="31.5">
      <c r="A25" s="675" t="s">
        <v>477</v>
      </c>
      <c r="B25" s="563" t="s">
        <v>550</v>
      </c>
      <c r="C25" s="729">
        <f>C26+C35+C36</f>
        <v>278364.5</v>
      </c>
      <c r="D25" s="729">
        <f>D26+D35+D36</f>
        <v>318486.24000000017</v>
      </c>
      <c r="E25" s="711"/>
      <c r="F25" s="729">
        <f>D25-C25</f>
        <v>40121.740000000165</v>
      </c>
      <c r="G25" s="676"/>
    </row>
    <row r="26" spans="1:7">
      <c r="A26" s="677">
        <v>1</v>
      </c>
      <c r="B26" s="490" t="s">
        <v>551</v>
      </c>
      <c r="C26" s="515">
        <f>SUM(C27:C34)</f>
        <v>110000</v>
      </c>
      <c r="D26" s="515">
        <f>'13TRONGDIEM'!M8</f>
        <v>148974</v>
      </c>
      <c r="E26" s="704">
        <f>D26/$D$7</f>
        <v>0.22325866959809001</v>
      </c>
      <c r="F26" s="515">
        <f>D26-C26</f>
        <v>38974</v>
      </c>
      <c r="G26" s="677" t="s">
        <v>670</v>
      </c>
    </row>
    <row r="27" spans="1:7" s="681" customFormat="1">
      <c r="A27" s="679" t="s">
        <v>34</v>
      </c>
      <c r="B27" s="680" t="s">
        <v>88</v>
      </c>
      <c r="C27" s="731">
        <v>20000</v>
      </c>
      <c r="D27" s="731">
        <f>'13TRONGDIEM'!M10</f>
        <v>11368</v>
      </c>
      <c r="E27" s="713"/>
      <c r="F27" s="731"/>
      <c r="G27" s="679"/>
    </row>
    <row r="28" spans="1:7" s="681" customFormat="1">
      <c r="A28" s="679" t="s">
        <v>34</v>
      </c>
      <c r="B28" s="680" t="s">
        <v>552</v>
      </c>
      <c r="C28" s="731">
        <v>20000</v>
      </c>
      <c r="D28" s="731">
        <f>'13TRONGDIEM'!M11</f>
        <v>27622.5</v>
      </c>
      <c r="E28" s="713"/>
      <c r="F28" s="731"/>
      <c r="G28" s="679"/>
    </row>
    <row r="29" spans="1:7" s="681" customFormat="1">
      <c r="A29" s="679" t="s">
        <v>34</v>
      </c>
      <c r="B29" s="680" t="s">
        <v>553</v>
      </c>
      <c r="C29" s="731">
        <v>15000</v>
      </c>
      <c r="D29" s="731">
        <f>'13TRONGDIEM'!M12</f>
        <v>6393.5</v>
      </c>
      <c r="E29" s="713"/>
      <c r="F29" s="731"/>
      <c r="G29" s="679"/>
    </row>
    <row r="30" spans="1:7" s="681" customFormat="1">
      <c r="A30" s="679" t="s">
        <v>34</v>
      </c>
      <c r="B30" s="680" t="s">
        <v>554</v>
      </c>
      <c r="C30" s="731">
        <v>15000</v>
      </c>
      <c r="D30" s="731">
        <f>'13TRONGDIEM'!M13</f>
        <v>11075</v>
      </c>
      <c r="E30" s="713"/>
      <c r="F30" s="731"/>
      <c r="G30" s="679"/>
    </row>
    <row r="31" spans="1:7" s="681" customFormat="1">
      <c r="A31" s="679" t="s">
        <v>34</v>
      </c>
      <c r="B31" s="680" t="s">
        <v>555</v>
      </c>
      <c r="C31" s="731">
        <v>15000</v>
      </c>
      <c r="D31" s="731">
        <f>'13TRONGDIEM'!M15</f>
        <v>28000</v>
      </c>
      <c r="E31" s="713"/>
      <c r="F31" s="731"/>
      <c r="G31" s="679"/>
    </row>
    <row r="32" spans="1:7" s="681" customFormat="1">
      <c r="A32" s="679" t="s">
        <v>34</v>
      </c>
      <c r="B32" s="680" t="s">
        <v>726</v>
      </c>
      <c r="C32" s="731">
        <v>15000</v>
      </c>
      <c r="D32" s="731">
        <f>'13TRONGDIEM'!M16</f>
        <v>28515</v>
      </c>
      <c r="E32" s="713"/>
      <c r="F32" s="731"/>
      <c r="G32" s="679"/>
    </row>
    <row r="33" spans="1:7" s="681" customFormat="1" ht="31.5">
      <c r="A33" s="679" t="s">
        <v>34</v>
      </c>
      <c r="B33" s="680" t="s">
        <v>1248</v>
      </c>
      <c r="C33" s="731">
        <v>3000</v>
      </c>
      <c r="D33" s="731">
        <f>'13TRONGDIEM'!M18</f>
        <v>18000</v>
      </c>
      <c r="E33" s="713"/>
      <c r="F33" s="731"/>
      <c r="G33" s="679"/>
    </row>
    <row r="34" spans="1:7" s="681" customFormat="1">
      <c r="A34" s="679" t="s">
        <v>34</v>
      </c>
      <c r="B34" s="680" t="s">
        <v>1249</v>
      </c>
      <c r="C34" s="731">
        <v>7000</v>
      </c>
      <c r="D34" s="731">
        <f>'13TRONGDIEM'!M19</f>
        <v>18000</v>
      </c>
      <c r="E34" s="713"/>
      <c r="F34" s="731"/>
      <c r="G34" s="679"/>
    </row>
    <row r="35" spans="1:7">
      <c r="A35" s="677">
        <v>2</v>
      </c>
      <c r="B35" s="490" t="s">
        <v>2122</v>
      </c>
      <c r="C35" s="487">
        <f>129377.5</f>
        <v>129377.5</v>
      </c>
      <c r="D35" s="487">
        <f>'14CHUYEN TIEP'!O8</f>
        <v>82778</v>
      </c>
      <c r="E35" s="704"/>
      <c r="F35" s="487">
        <f>D35-C35</f>
        <v>-46599.5</v>
      </c>
      <c r="G35" s="677" t="s">
        <v>671</v>
      </c>
    </row>
    <row r="36" spans="1:7">
      <c r="A36" s="677">
        <v>3</v>
      </c>
      <c r="B36" s="490" t="s">
        <v>2123</v>
      </c>
      <c r="C36" s="487">
        <v>38987</v>
      </c>
      <c r="D36" s="487">
        <f>'15KCM 2019'!Q8</f>
        <v>86734.240000000165</v>
      </c>
      <c r="E36" s="704"/>
      <c r="F36" s="487">
        <f>D36-C36</f>
        <v>47747.240000000165</v>
      </c>
      <c r="G36" s="677" t="s">
        <v>672</v>
      </c>
    </row>
  </sheetData>
  <printOptions horizontalCentered="1"/>
  <pageMargins left="0.7" right="0.7" top="0.75" bottom="0.75" header="0.3" footer="0.3"/>
  <pageSetup paperSize="9" scale="76" fitToHeight="0" orientation="portrait" r:id="rId1"/>
  <headerFooter>
    <oddFooter>&amp;C&amp;P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zoomScale="70" zoomScaleNormal="70" workbookViewId="0">
      <selection activeCell="C17" sqref="C17"/>
    </sheetView>
  </sheetViews>
  <sheetFormatPr defaultColWidth="9" defaultRowHeight="15.75"/>
  <cols>
    <col min="1" max="1" width="5.125" style="131" customWidth="1"/>
    <col min="2" max="2" width="55.375" style="131" customWidth="1"/>
    <col min="3" max="5" width="14.875" style="131" customWidth="1"/>
    <col min="6" max="6" width="15" style="131" customWidth="1"/>
    <col min="7" max="16384" width="9" style="131"/>
  </cols>
  <sheetData>
    <row r="1" spans="1:15">
      <c r="A1" s="132" t="s">
        <v>723</v>
      </c>
      <c r="B1" s="132"/>
      <c r="C1" s="132"/>
      <c r="D1" s="132"/>
      <c r="E1" s="132"/>
    </row>
    <row r="2" spans="1:15" s="49" customFormat="1">
      <c r="A2" s="49" t="s">
        <v>1589</v>
      </c>
      <c r="B2" s="50"/>
      <c r="C2" s="73"/>
      <c r="D2" s="51"/>
      <c r="E2" s="52"/>
      <c r="F2" s="73"/>
      <c r="H2" s="52"/>
      <c r="N2" s="50"/>
      <c r="O2" s="74"/>
    </row>
    <row r="3" spans="1:15" s="49" customFormat="1">
      <c r="B3" s="50"/>
      <c r="C3" s="73"/>
      <c r="D3" s="51"/>
      <c r="E3" s="52"/>
      <c r="F3" s="73"/>
      <c r="H3" s="52"/>
      <c r="N3" s="50"/>
      <c r="O3" s="74"/>
    </row>
    <row r="4" spans="1:15" s="87" customFormat="1">
      <c r="B4" s="88"/>
      <c r="C4" s="89"/>
      <c r="D4" s="90"/>
      <c r="F4" s="93" t="s">
        <v>650</v>
      </c>
      <c r="H4" s="91"/>
      <c r="N4" s="88"/>
      <c r="O4" s="92"/>
    </row>
    <row r="5" spans="1:15">
      <c r="A5" s="1762" t="s">
        <v>469</v>
      </c>
      <c r="B5" s="1763" t="s">
        <v>705</v>
      </c>
      <c r="C5" s="1762" t="s">
        <v>8</v>
      </c>
      <c r="D5" s="1762" t="s">
        <v>706</v>
      </c>
      <c r="E5" s="1762"/>
      <c r="F5" s="1761" t="s">
        <v>4</v>
      </c>
    </row>
    <row r="6" spans="1:15">
      <c r="A6" s="1762"/>
      <c r="B6" s="1763"/>
      <c r="C6" s="1762"/>
      <c r="D6" s="1762"/>
      <c r="E6" s="1762"/>
      <c r="F6" s="1761"/>
    </row>
    <row r="7" spans="1:15">
      <c r="A7" s="1762"/>
      <c r="B7" s="1763"/>
      <c r="C7" s="1762"/>
      <c r="D7" s="1762" t="s">
        <v>707</v>
      </c>
      <c r="E7" s="1762" t="s">
        <v>708</v>
      </c>
      <c r="F7" s="1761"/>
    </row>
    <row r="8" spans="1:15">
      <c r="A8" s="1762"/>
      <c r="B8" s="1763"/>
      <c r="C8" s="1762"/>
      <c r="D8" s="1762"/>
      <c r="E8" s="1762"/>
      <c r="F8" s="1761"/>
      <c r="H8" s="529"/>
    </row>
    <row r="9" spans="1:15">
      <c r="A9" s="1762"/>
      <c r="B9" s="1763"/>
      <c r="C9" s="1762"/>
      <c r="D9" s="1762"/>
      <c r="E9" s="1762"/>
      <c r="F9" s="1761"/>
    </row>
    <row r="10" spans="1:15">
      <c r="A10" s="564"/>
      <c r="B10" s="565" t="s">
        <v>709</v>
      </c>
      <c r="C10" s="566">
        <f>D10+E10</f>
        <v>769651.49000000011</v>
      </c>
      <c r="D10" s="566">
        <f>'1NGUON'!D22</f>
        <v>189446</v>
      </c>
      <c r="E10" s="566">
        <f>'Tien dat 2019'!M12</f>
        <v>580205.49000000011</v>
      </c>
      <c r="F10" s="567"/>
    </row>
    <row r="11" spans="1:15">
      <c r="A11" s="124"/>
      <c r="B11" s="125" t="s">
        <v>710</v>
      </c>
      <c r="C11" s="127">
        <f>C10*0.2</f>
        <v>153930.29800000004</v>
      </c>
      <c r="D11" s="128"/>
      <c r="E11" s="129"/>
      <c r="F11" s="528"/>
    </row>
    <row r="12" spans="1:15">
      <c r="A12" s="124"/>
      <c r="B12" s="125" t="s">
        <v>711</v>
      </c>
      <c r="C12" s="127">
        <f>C10*0.02</f>
        <v>15393.029800000002</v>
      </c>
      <c r="D12" s="128"/>
      <c r="E12" s="129"/>
      <c r="F12" s="528"/>
    </row>
    <row r="13" spans="1:15">
      <c r="A13" s="564"/>
      <c r="B13" s="565" t="s">
        <v>656</v>
      </c>
      <c r="C13" s="566">
        <f>D13+E13</f>
        <v>769651.49000000011</v>
      </c>
      <c r="D13" s="566">
        <f>SUBTOTAL(9,D14:D100)</f>
        <v>189446</v>
      </c>
      <c r="E13" s="566">
        <f>SUBTOTAL(9,E14:E100)</f>
        <v>580205.49000000011</v>
      </c>
      <c r="F13" s="567"/>
    </row>
    <row r="14" spans="1:15">
      <c r="A14" s="124">
        <v>1</v>
      </c>
      <c r="B14" s="125" t="s">
        <v>712</v>
      </c>
      <c r="C14" s="127">
        <f>D14+E14</f>
        <v>354742.25</v>
      </c>
      <c r="D14" s="127">
        <v>29091</v>
      </c>
      <c r="E14" s="517">
        <f>'Tien dat 2019'!M2</f>
        <v>325651.25</v>
      </c>
      <c r="F14" s="520"/>
    </row>
    <row r="15" spans="1:15">
      <c r="A15" s="124"/>
      <c r="B15" s="125" t="s">
        <v>713</v>
      </c>
      <c r="C15" s="127"/>
      <c r="D15" s="127"/>
      <c r="E15" s="518"/>
      <c r="F15" s="528"/>
    </row>
    <row r="16" spans="1:15">
      <c r="A16" s="124"/>
      <c r="B16" s="126" t="s">
        <v>721</v>
      </c>
      <c r="C16" s="130">
        <f>C14*0.2</f>
        <v>70948.45</v>
      </c>
      <c r="D16" s="127"/>
      <c r="E16" s="519"/>
      <c r="F16" s="528"/>
    </row>
    <row r="17" spans="1:6">
      <c r="A17" s="124"/>
      <c r="B17" s="126" t="s">
        <v>722</v>
      </c>
      <c r="C17" s="130">
        <f>C14*0.02</f>
        <v>7094.8450000000003</v>
      </c>
      <c r="D17" s="127"/>
      <c r="E17" s="519"/>
      <c r="F17" s="528"/>
    </row>
    <row r="18" spans="1:6">
      <c r="A18" s="124">
        <v>6</v>
      </c>
      <c r="B18" s="125" t="s">
        <v>718</v>
      </c>
      <c r="C18" s="127">
        <f>D18+E18</f>
        <v>115894.09999999999</v>
      </c>
      <c r="D18" s="127">
        <v>31065</v>
      </c>
      <c r="E18" s="517">
        <f>'Tien dat 2019'!M3</f>
        <v>84829.099999999991</v>
      </c>
      <c r="F18" s="528"/>
    </row>
    <row r="19" spans="1:6">
      <c r="A19" s="124"/>
      <c r="B19" s="125" t="s">
        <v>706</v>
      </c>
      <c r="C19" s="127"/>
      <c r="D19" s="127"/>
      <c r="E19" s="518"/>
      <c r="F19" s="528"/>
    </row>
    <row r="20" spans="1:6">
      <c r="A20" s="124"/>
      <c r="B20" s="126" t="s">
        <v>721</v>
      </c>
      <c r="C20" s="130">
        <f>C18*0.2</f>
        <v>23178.82</v>
      </c>
      <c r="D20" s="127"/>
      <c r="E20" s="518"/>
      <c r="F20" s="528"/>
    </row>
    <row r="21" spans="1:6">
      <c r="A21" s="124"/>
      <c r="B21" s="126" t="s">
        <v>722</v>
      </c>
      <c r="C21" s="130">
        <f>C18*0.02</f>
        <v>2317.8820000000001</v>
      </c>
      <c r="D21" s="127"/>
      <c r="E21" s="518"/>
      <c r="F21" s="528"/>
    </row>
    <row r="22" spans="1:6">
      <c r="A22" s="124">
        <v>4</v>
      </c>
      <c r="B22" s="125" t="s">
        <v>716</v>
      </c>
      <c r="C22" s="127">
        <f>D22+E22</f>
        <v>48596.4</v>
      </c>
      <c r="D22" s="127">
        <v>20385</v>
      </c>
      <c r="E22" s="517">
        <f>'Tien dat 2019'!M4</f>
        <v>28211.4</v>
      </c>
      <c r="F22" s="528"/>
    </row>
    <row r="23" spans="1:6">
      <c r="A23" s="124"/>
      <c r="B23" s="125" t="s">
        <v>713</v>
      </c>
      <c r="C23" s="127"/>
      <c r="D23" s="127"/>
      <c r="E23" s="518"/>
      <c r="F23" s="528"/>
    </row>
    <row r="24" spans="1:6">
      <c r="A24" s="124"/>
      <c r="B24" s="126" t="s">
        <v>721</v>
      </c>
      <c r="C24" s="130">
        <f>C22*0.2</f>
        <v>9719.2800000000007</v>
      </c>
      <c r="D24" s="127"/>
      <c r="E24" s="518"/>
      <c r="F24" s="528"/>
    </row>
    <row r="25" spans="1:6">
      <c r="A25" s="124"/>
      <c r="B25" s="126" t="s">
        <v>722</v>
      </c>
      <c r="C25" s="130">
        <f>C22*0.02</f>
        <v>971.928</v>
      </c>
      <c r="D25" s="127"/>
      <c r="E25" s="518"/>
      <c r="F25" s="528"/>
    </row>
    <row r="26" spans="1:6">
      <c r="A26" s="124">
        <v>8</v>
      </c>
      <c r="B26" s="125" t="s">
        <v>720</v>
      </c>
      <c r="C26" s="127">
        <f>D26+E26</f>
        <v>73444.28</v>
      </c>
      <c r="D26" s="127">
        <v>28317</v>
      </c>
      <c r="E26" s="517">
        <f>'Tien dat 2019'!M5</f>
        <v>45127.28</v>
      </c>
      <c r="F26" s="528"/>
    </row>
    <row r="27" spans="1:6">
      <c r="A27" s="124"/>
      <c r="B27" s="125" t="s">
        <v>713</v>
      </c>
      <c r="C27" s="127"/>
      <c r="D27" s="127"/>
      <c r="E27" s="518"/>
      <c r="F27" s="528"/>
    </row>
    <row r="28" spans="1:6">
      <c r="A28" s="124"/>
      <c r="B28" s="126" t="s">
        <v>721</v>
      </c>
      <c r="C28" s="130">
        <f>C26*0.2</f>
        <v>14688.856</v>
      </c>
      <c r="D28" s="127"/>
      <c r="E28" s="518"/>
      <c r="F28" s="528"/>
    </row>
    <row r="29" spans="1:6">
      <c r="A29" s="124"/>
      <c r="B29" s="126" t="s">
        <v>722</v>
      </c>
      <c r="C29" s="130">
        <f>C26*0.02</f>
        <v>1468.8856000000001</v>
      </c>
      <c r="D29" s="127"/>
      <c r="E29" s="518"/>
      <c r="F29" s="528"/>
    </row>
    <row r="30" spans="1:6">
      <c r="A30" s="124">
        <v>7</v>
      </c>
      <c r="B30" s="125" t="s">
        <v>719</v>
      </c>
      <c r="C30" s="127">
        <f>D30+E30</f>
        <v>53069.3</v>
      </c>
      <c r="D30" s="127">
        <v>18093</v>
      </c>
      <c r="E30" s="517">
        <f>'Tien dat 2019'!M6</f>
        <v>34976.300000000003</v>
      </c>
      <c r="F30" s="528"/>
    </row>
    <row r="31" spans="1:6">
      <c r="A31" s="124"/>
      <c r="B31" s="125" t="s">
        <v>713</v>
      </c>
      <c r="C31" s="127"/>
      <c r="D31" s="127"/>
      <c r="E31" s="518"/>
      <c r="F31" s="528"/>
    </row>
    <row r="32" spans="1:6">
      <c r="A32" s="124"/>
      <c r="B32" s="126" t="s">
        <v>721</v>
      </c>
      <c r="C32" s="130">
        <f>C30*0.2</f>
        <v>10613.86</v>
      </c>
      <c r="D32" s="127"/>
      <c r="E32" s="518"/>
      <c r="F32" s="528"/>
    </row>
    <row r="33" spans="1:6" ht="15" customHeight="1">
      <c r="A33" s="124"/>
      <c r="B33" s="126" t="s">
        <v>722</v>
      </c>
      <c r="C33" s="130">
        <f>C30*0.02</f>
        <v>1061.386</v>
      </c>
      <c r="D33" s="127"/>
      <c r="E33" s="518"/>
      <c r="F33" s="528"/>
    </row>
    <row r="34" spans="1:6">
      <c r="A34" s="124">
        <v>5</v>
      </c>
      <c r="B34" s="125" t="s">
        <v>717</v>
      </c>
      <c r="C34" s="127">
        <f>D34+E34</f>
        <v>79658.36</v>
      </c>
      <c r="D34" s="127">
        <v>22727</v>
      </c>
      <c r="E34" s="517">
        <f>'Tien dat 2019'!M7</f>
        <v>56931.360000000001</v>
      </c>
      <c r="F34" s="528"/>
    </row>
    <row r="35" spans="1:6">
      <c r="A35" s="124"/>
      <c r="B35" s="125" t="s">
        <v>713</v>
      </c>
      <c r="C35" s="127"/>
      <c r="D35" s="127"/>
      <c r="E35" s="518"/>
      <c r="F35" s="528"/>
    </row>
    <row r="36" spans="1:6">
      <c r="A36" s="124"/>
      <c r="B36" s="126" t="s">
        <v>721</v>
      </c>
      <c r="C36" s="130">
        <f>C34*0.2</f>
        <v>15931.672</v>
      </c>
      <c r="D36" s="127"/>
      <c r="E36" s="518"/>
      <c r="F36" s="528"/>
    </row>
    <row r="37" spans="1:6">
      <c r="A37" s="124"/>
      <c r="B37" s="126" t="s">
        <v>722</v>
      </c>
      <c r="C37" s="130">
        <f>C34*0.02</f>
        <v>1593.1672000000001</v>
      </c>
      <c r="D37" s="127"/>
      <c r="E37" s="518"/>
      <c r="F37" s="528"/>
    </row>
    <row r="38" spans="1:6">
      <c r="A38" s="124">
        <v>3</v>
      </c>
      <c r="B38" s="125" t="s">
        <v>715</v>
      </c>
      <c r="C38" s="127">
        <f>D38+E38</f>
        <v>23028.799999999999</v>
      </c>
      <c r="D38" s="127">
        <v>19842</v>
      </c>
      <c r="E38" s="517">
        <f>'Tien dat 2019'!M8</f>
        <v>3186.8</v>
      </c>
      <c r="F38" s="528"/>
    </row>
    <row r="39" spans="1:6">
      <c r="A39" s="124"/>
      <c r="B39" s="125" t="s">
        <v>713</v>
      </c>
      <c r="C39" s="127"/>
      <c r="D39" s="127"/>
      <c r="E39" s="518"/>
      <c r="F39" s="528"/>
    </row>
    <row r="40" spans="1:6">
      <c r="A40" s="124"/>
      <c r="B40" s="126" t="s">
        <v>721</v>
      </c>
      <c r="C40" s="130">
        <f>C38*0.2</f>
        <v>4605.76</v>
      </c>
      <c r="D40" s="127"/>
      <c r="E40" s="518"/>
      <c r="F40" s="528"/>
    </row>
    <row r="41" spans="1:6">
      <c r="A41" s="124"/>
      <c r="B41" s="126" t="s">
        <v>722</v>
      </c>
      <c r="C41" s="130">
        <f>C38*0.02</f>
        <v>460.57600000000002</v>
      </c>
      <c r="D41" s="127"/>
      <c r="E41" s="518"/>
      <c r="F41" s="528"/>
    </row>
    <row r="42" spans="1:6">
      <c r="A42" s="124">
        <v>2</v>
      </c>
      <c r="B42" s="125" t="s">
        <v>714</v>
      </c>
      <c r="C42" s="127">
        <f>D42+E42</f>
        <v>21218</v>
      </c>
      <c r="D42" s="127">
        <v>19926</v>
      </c>
      <c r="E42" s="517">
        <f>'Tien dat 2019'!M9</f>
        <v>1292</v>
      </c>
      <c r="F42" s="528"/>
    </row>
    <row r="43" spans="1:6">
      <c r="A43" s="124"/>
      <c r="B43" s="125" t="s">
        <v>706</v>
      </c>
      <c r="C43" s="127"/>
      <c r="D43" s="127"/>
      <c r="E43" s="518"/>
      <c r="F43" s="528"/>
    </row>
    <row r="44" spans="1:6">
      <c r="A44" s="124"/>
      <c r="B44" s="126" t="s">
        <v>721</v>
      </c>
      <c r="C44" s="130">
        <f>C42*0.2</f>
        <v>4243.6000000000004</v>
      </c>
      <c r="D44" s="127"/>
      <c r="E44" s="518"/>
      <c r="F44" s="528"/>
    </row>
    <row r="45" spans="1:6">
      <c r="A45" s="124"/>
      <c r="B45" s="126" t="s">
        <v>722</v>
      </c>
      <c r="C45" s="130">
        <f>C42*0.02</f>
        <v>424.36</v>
      </c>
      <c r="D45" s="127"/>
      <c r="E45" s="518"/>
      <c r="F45" s="528"/>
    </row>
  </sheetData>
  <mergeCells count="7">
    <mergeCell ref="F5:F9"/>
    <mergeCell ref="E7:E9"/>
    <mergeCell ref="A5:A9"/>
    <mergeCell ref="B5:B9"/>
    <mergeCell ref="C5:C9"/>
    <mergeCell ref="D5:E6"/>
    <mergeCell ref="D7:D9"/>
  </mergeCells>
  <printOptions horizontalCentered="1"/>
  <pageMargins left="0.7" right="0.7" top="0.75" bottom="0.75" header="0.3" footer="0.3"/>
  <pageSetup paperSize="9" scale="68" fitToHeight="0"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5"/>
  <sheetViews>
    <sheetView zoomScale="70" zoomScaleNormal="70" workbookViewId="0">
      <selection activeCell="C22" sqref="C22"/>
    </sheetView>
  </sheetViews>
  <sheetFormatPr defaultColWidth="9" defaultRowHeight="15.75"/>
  <cols>
    <col min="1" max="1" width="3.375" style="683" bestFit="1" customWidth="1"/>
    <col min="2" max="2" width="50.625" style="684" customWidth="1"/>
    <col min="3" max="3" width="13.25" style="672" customWidth="1"/>
    <col min="4" max="4" width="13.25" style="552" customWidth="1"/>
    <col min="5" max="16384" width="9" style="672"/>
  </cols>
  <sheetData>
    <row r="1" spans="1:4" s="34" customFormat="1">
      <c r="A1" s="49" t="s">
        <v>1809</v>
      </c>
      <c r="B1" s="114"/>
      <c r="C1" s="114"/>
      <c r="D1" s="523"/>
    </row>
    <row r="2" spans="1:4" s="49" customFormat="1">
      <c r="A2" s="49" t="s">
        <v>1589</v>
      </c>
      <c r="B2" s="50"/>
      <c r="C2" s="73"/>
      <c r="D2" s="524"/>
    </row>
    <row r="3" spans="1:4" s="49" customFormat="1">
      <c r="B3" s="50"/>
      <c r="C3" s="73"/>
      <c r="D3" s="524"/>
    </row>
    <row r="5" spans="1:4">
      <c r="A5" s="683">
        <v>1</v>
      </c>
      <c r="B5" s="686" t="s">
        <v>1816</v>
      </c>
    </row>
    <row r="6" spans="1:4">
      <c r="A6" s="683">
        <v>2</v>
      </c>
      <c r="B6" s="686" t="s">
        <v>1817</v>
      </c>
    </row>
    <row r="7" spans="1:4">
      <c r="A7" s="683">
        <v>3</v>
      </c>
      <c r="B7" s="686" t="s">
        <v>1818</v>
      </c>
    </row>
    <row r="8" spans="1:4">
      <c r="A8" s="683">
        <v>4</v>
      </c>
      <c r="B8" s="686" t="s">
        <v>1819</v>
      </c>
    </row>
    <row r="9" spans="1:4">
      <c r="A9" s="683">
        <v>5</v>
      </c>
      <c r="B9" s="686" t="s">
        <v>1820</v>
      </c>
    </row>
    <row r="10" spans="1:4">
      <c r="A10" s="683">
        <v>6</v>
      </c>
      <c r="B10" s="686" t="s">
        <v>1810</v>
      </c>
    </row>
    <row r="11" spans="1:4">
      <c r="A11" s="683">
        <v>7</v>
      </c>
      <c r="B11" s="686" t="s">
        <v>1811</v>
      </c>
    </row>
    <row r="12" spans="1:4">
      <c r="A12" s="683">
        <v>8</v>
      </c>
      <c r="B12" s="686" t="s">
        <v>1812</v>
      </c>
    </row>
    <row r="13" spans="1:4">
      <c r="A13" s="683">
        <v>9</v>
      </c>
      <c r="B13" s="686" t="s">
        <v>1813</v>
      </c>
    </row>
    <row r="14" spans="1:4">
      <c r="A14" s="683">
        <v>10</v>
      </c>
      <c r="B14" s="686" t="s">
        <v>1814</v>
      </c>
    </row>
    <row r="15" spans="1:4">
      <c r="A15" s="683">
        <v>11</v>
      </c>
      <c r="B15" s="686" t="s">
        <v>1815</v>
      </c>
    </row>
  </sheetData>
  <printOptions horizontalCentered="1"/>
  <pageMargins left="0.7" right="0.7" top="0.75" bottom="0.75" header="0.3" footer="0.3"/>
  <pageSetup paperSize="9" fitToHeight="0" orientation="portrait"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2"/>
  <sheetViews>
    <sheetView view="pageLayout" topLeftCell="A10" zoomScale="55" zoomScaleNormal="70" zoomScalePageLayoutView="55" workbookViewId="0">
      <selection activeCell="M15" sqref="M15"/>
    </sheetView>
  </sheetViews>
  <sheetFormatPr defaultColWidth="9" defaultRowHeight="15.75"/>
  <cols>
    <col min="1" max="1" width="5.625" style="49" customWidth="1"/>
    <col min="2" max="2" width="55.625" style="50" customWidth="1"/>
    <col min="3" max="3" width="12.625" style="73" customWidth="1"/>
    <col min="4" max="4" width="8.625" style="51" customWidth="1"/>
    <col min="5" max="5" width="8.625" style="52" customWidth="1"/>
    <col min="6" max="6" width="16.625" style="73" customWidth="1"/>
    <col min="7" max="12" width="10.625" style="49" customWidth="1"/>
    <col min="13" max="13" width="11" style="50" customWidth="1"/>
    <col min="14" max="14" width="5.625" style="74" customWidth="1"/>
    <col min="15" max="15" width="16.625" style="49" customWidth="1"/>
    <col min="16" max="16" width="16.625" style="49" hidden="1" customWidth="1"/>
    <col min="17" max="16384" width="9" style="49"/>
  </cols>
  <sheetData>
    <row r="1" spans="1:16" s="31" customFormat="1">
      <c r="A1" s="31" t="s">
        <v>681</v>
      </c>
      <c r="B1" s="82"/>
      <c r="C1" s="83"/>
      <c r="D1" s="84"/>
      <c r="E1" s="85"/>
      <c r="F1" s="83"/>
      <c r="M1" s="82"/>
      <c r="N1" s="86"/>
    </row>
    <row r="2" spans="1:16">
      <c r="A2" s="49" t="s">
        <v>1589</v>
      </c>
    </row>
    <row r="3" spans="1:16" s="87" customFormat="1">
      <c r="B3" s="88"/>
      <c r="C3" s="89"/>
      <c r="D3" s="90"/>
      <c r="E3" s="91"/>
      <c r="F3" s="89"/>
      <c r="M3" s="88"/>
      <c r="N3" s="92"/>
      <c r="O3" s="93" t="s">
        <v>650</v>
      </c>
      <c r="P3" s="93" t="s">
        <v>650</v>
      </c>
    </row>
    <row r="4" spans="1:16" s="8" customFormat="1">
      <c r="A4" s="1771" t="s">
        <v>469</v>
      </c>
      <c r="B4" s="1777" t="s">
        <v>1</v>
      </c>
      <c r="C4" s="1774" t="s">
        <v>651</v>
      </c>
      <c r="D4" s="1778" t="s">
        <v>341</v>
      </c>
      <c r="E4" s="1779" t="s">
        <v>165</v>
      </c>
      <c r="F4" s="1772" t="s">
        <v>3</v>
      </c>
      <c r="G4" s="1772"/>
      <c r="H4" s="1773"/>
      <c r="I4" s="1767" t="s">
        <v>788</v>
      </c>
      <c r="J4" s="1767"/>
      <c r="K4" s="1771" t="s">
        <v>611</v>
      </c>
      <c r="L4" s="1771"/>
      <c r="M4" s="1764" t="s">
        <v>790</v>
      </c>
      <c r="N4" s="1764" t="s">
        <v>628</v>
      </c>
      <c r="O4" s="1767" t="s">
        <v>4</v>
      </c>
      <c r="P4" s="1767" t="s">
        <v>4</v>
      </c>
    </row>
    <row r="5" spans="1:16" s="8" customFormat="1">
      <c r="A5" s="1771"/>
      <c r="B5" s="1777"/>
      <c r="C5" s="1775"/>
      <c r="D5" s="1778"/>
      <c r="E5" s="1779"/>
      <c r="F5" s="1774" t="s">
        <v>613</v>
      </c>
      <c r="G5" s="1767" t="s">
        <v>6</v>
      </c>
      <c r="H5" s="1767"/>
      <c r="I5" s="1767"/>
      <c r="J5" s="1767"/>
      <c r="K5" s="1771"/>
      <c r="L5" s="1771"/>
      <c r="M5" s="1765"/>
      <c r="N5" s="1765"/>
      <c r="O5" s="1767"/>
      <c r="P5" s="1767"/>
    </row>
    <row r="6" spans="1:16" s="8" customFormat="1">
      <c r="A6" s="1771"/>
      <c r="B6" s="1777"/>
      <c r="C6" s="1775"/>
      <c r="D6" s="1778"/>
      <c r="E6" s="1779"/>
      <c r="F6" s="1775"/>
      <c r="G6" s="1764" t="s">
        <v>8</v>
      </c>
      <c r="H6" s="1769" t="s">
        <v>615</v>
      </c>
      <c r="I6" s="1767" t="s">
        <v>8</v>
      </c>
      <c r="J6" s="1769" t="s">
        <v>615</v>
      </c>
      <c r="K6" s="1764" t="s">
        <v>8</v>
      </c>
      <c r="L6" s="1764" t="s">
        <v>789</v>
      </c>
      <c r="M6" s="1765"/>
      <c r="N6" s="1765"/>
      <c r="O6" s="1767"/>
      <c r="P6" s="1767"/>
    </row>
    <row r="7" spans="1:16" s="8" customFormat="1">
      <c r="A7" s="1771"/>
      <c r="B7" s="1777"/>
      <c r="C7" s="1776"/>
      <c r="D7" s="1778"/>
      <c r="E7" s="1779"/>
      <c r="F7" s="1776"/>
      <c r="G7" s="1766"/>
      <c r="H7" s="1770"/>
      <c r="I7" s="1767"/>
      <c r="J7" s="1770"/>
      <c r="K7" s="1766"/>
      <c r="L7" s="1766"/>
      <c r="M7" s="1766"/>
      <c r="N7" s="1766"/>
      <c r="O7" s="1768"/>
      <c r="P7" s="1768"/>
    </row>
    <row r="8" spans="1:16" s="75" customFormat="1" ht="33.6" customHeight="1">
      <c r="A8" s="694"/>
      <c r="B8" s="695" t="s">
        <v>470</v>
      </c>
      <c r="C8" s="694"/>
      <c r="D8" s="694"/>
      <c r="E8" s="694"/>
      <c r="F8" s="694"/>
      <c r="G8" s="20">
        <f t="shared" ref="G8:L8" si="0">SUBTOTAL(109,G9:G200)</f>
        <v>55985.222222222219</v>
      </c>
      <c r="H8" s="20">
        <f t="shared" si="0"/>
        <v>52685.222222222219</v>
      </c>
      <c r="I8" s="20">
        <f t="shared" si="0"/>
        <v>12438.8</v>
      </c>
      <c r="J8" s="20">
        <f t="shared" si="0"/>
        <v>12438.8</v>
      </c>
      <c r="K8" s="20">
        <f t="shared" si="0"/>
        <v>39521.4</v>
      </c>
      <c r="L8" s="20">
        <f t="shared" si="0"/>
        <v>27185.199999999997</v>
      </c>
      <c r="M8" s="20">
        <f>SUBTOTAL(109,M9:M200)</f>
        <v>19732</v>
      </c>
      <c r="N8" s="20"/>
      <c r="O8" s="694"/>
      <c r="P8" s="694"/>
    </row>
    <row r="9" spans="1:16" s="77" customFormat="1" ht="33.6" customHeight="1">
      <c r="A9" s="732" t="s">
        <v>471</v>
      </c>
      <c r="B9" s="733" t="s">
        <v>1625</v>
      </c>
      <c r="C9" s="732"/>
      <c r="D9" s="732"/>
      <c r="E9" s="732"/>
      <c r="F9" s="732"/>
      <c r="G9" s="729">
        <f>SUBTOTAL(109,G10:G14)</f>
        <v>31141.222222222223</v>
      </c>
      <c r="H9" s="729">
        <f t="shared" ref="H9:L9" si="1">SUBTOTAL(109,H10:H14)</f>
        <v>27841.222222222223</v>
      </c>
      <c r="I9" s="729">
        <f t="shared" si="1"/>
        <v>12438.8</v>
      </c>
      <c r="J9" s="729">
        <f t="shared" si="1"/>
        <v>12438.8</v>
      </c>
      <c r="K9" s="729">
        <f t="shared" si="1"/>
        <v>24615</v>
      </c>
      <c r="L9" s="729">
        <f t="shared" si="1"/>
        <v>12278.8</v>
      </c>
      <c r="M9" s="729">
        <f>SUBTOTAL(109,M10:M14)</f>
        <v>12278.8</v>
      </c>
      <c r="N9" s="729"/>
      <c r="O9" s="729"/>
      <c r="P9" s="521"/>
    </row>
    <row r="10" spans="1:16" s="78" customFormat="1" ht="33.6" customHeight="1">
      <c r="A10" s="485">
        <v>1</v>
      </c>
      <c r="B10" s="494" t="s">
        <v>491</v>
      </c>
      <c r="C10" s="497" t="str">
        <f>VLOOKUP($B10,DATA!$B$14:$AU$589,6,0)</f>
        <v>Đồng Hới</v>
      </c>
      <c r="D10" s="497">
        <f>VLOOKUP($B10,DATA!$B$14:$AU$589,7,0)</f>
        <v>2018</v>
      </c>
      <c r="E10" s="497">
        <f>VLOOKUP($B10,DATA!$B$14:$AU$589,9,0)</f>
        <v>2020</v>
      </c>
      <c r="F10" s="497" t="str">
        <f>VLOOKUP($B10,DATA!$B$14:$AU$589,12,0)</f>
        <v>3848/QĐ-UBND ngày 30/10/2017</v>
      </c>
      <c r="G10" s="483">
        <f>VLOOKUP($B10,DATA!$B$14:$AU$589,13,0)</f>
        <v>2822</v>
      </c>
      <c r="H10" s="483">
        <f>VLOOKUP($B10,DATA!$B$14:$AU$589,15,0)</f>
        <v>2822</v>
      </c>
      <c r="I10" s="483">
        <f>VLOOKUP($B10,DATA!$B$14:$AU$589,26,0)</f>
        <v>1270</v>
      </c>
      <c r="J10" s="483">
        <f>VLOOKUP($B10,DATA!$B$14:$AU$589,28,0)</f>
        <v>1270</v>
      </c>
      <c r="K10" s="483">
        <f>VLOOKUP($B10,DATA!$B$14:$AU$589,29,0)</f>
        <v>2540</v>
      </c>
      <c r="L10" s="483">
        <f>VLOOKUP($B10,DATA!$B$14:$AU$589,30,0)</f>
        <v>1270</v>
      </c>
      <c r="M10" s="483">
        <f>L10*N10/100</f>
        <v>1270</v>
      </c>
      <c r="N10" s="497">
        <v>100</v>
      </c>
      <c r="O10" s="497"/>
      <c r="P10" s="497" t="str">
        <f>VLOOKUP($B10,DATA!$B$14:$AU$589,33,0)</f>
        <v>Cập nhật số QĐ</v>
      </c>
    </row>
    <row r="11" spans="1:16" s="78" customFormat="1" ht="33.6" customHeight="1">
      <c r="A11" s="485">
        <v>2</v>
      </c>
      <c r="B11" s="494" t="s">
        <v>15</v>
      </c>
      <c r="C11" s="497" t="str">
        <f>VLOOKUP($B11,DATA!$B$14:$AU$589,6,0)</f>
        <v>Quảng Bình</v>
      </c>
      <c r="D11" s="497">
        <f>VLOOKUP($B11,DATA!$B$14:$AU$589,7,0)</f>
        <v>2018</v>
      </c>
      <c r="E11" s="497">
        <f>VLOOKUP($B11,DATA!$B$14:$AU$589,9,0)</f>
        <v>2020</v>
      </c>
      <c r="F11" s="497" t="str">
        <f>VLOOKUP($B11,DATA!$B$14:$AU$589,12,0)</f>
        <v>3849/QĐ-UBND ngày 30/10/2017</v>
      </c>
      <c r="G11" s="483">
        <f>VLOOKUP($B11,DATA!$B$14:$AU$589,13,0)</f>
        <v>3150</v>
      </c>
      <c r="H11" s="483">
        <f>VLOOKUP($B11,DATA!$B$14:$AU$589,15,0)</f>
        <v>3150</v>
      </c>
      <c r="I11" s="483">
        <f>VLOOKUP($B11,DATA!$B$14:$AU$589,26,0)</f>
        <v>1457.5</v>
      </c>
      <c r="J11" s="483">
        <f>VLOOKUP($B11,DATA!$B$14:$AU$589,28,0)</f>
        <v>1457.5</v>
      </c>
      <c r="K11" s="483">
        <f>VLOOKUP($B11,DATA!$B$14:$AU$589,29,0)</f>
        <v>2835</v>
      </c>
      <c r="L11" s="483">
        <f>VLOOKUP($B11,DATA!$B$14:$AU$589,30,0)</f>
        <v>1417.5</v>
      </c>
      <c r="M11" s="483">
        <f t="shared" ref="M11:M14" si="2">L11*N11/100</f>
        <v>1417.5</v>
      </c>
      <c r="N11" s="497">
        <v>100</v>
      </c>
      <c r="O11" s="497"/>
      <c r="P11" s="497">
        <f>VLOOKUP($B11,DATA!$B$14:$AU$589,33,0)</f>
        <v>0</v>
      </c>
    </row>
    <row r="12" spans="1:16" s="79" customFormat="1" ht="33.6" customHeight="1">
      <c r="A12" s="485">
        <v>3</v>
      </c>
      <c r="B12" s="494" t="s">
        <v>14</v>
      </c>
      <c r="C12" s="497" t="str">
        <f>VLOOKUP($B12,DATA!$B$14:$AU$589,6,0)</f>
        <v>Quảng Bình</v>
      </c>
      <c r="D12" s="497">
        <f>VLOOKUP($B12,DATA!$B$14:$AU$589,7,0)</f>
        <v>2018</v>
      </c>
      <c r="E12" s="497">
        <f>VLOOKUP($B12,DATA!$B$14:$AU$589,9,0)</f>
        <v>2020</v>
      </c>
      <c r="F12" s="497" t="str">
        <f>VLOOKUP($B12,DATA!$B$14:$AU$589,12,0)</f>
        <v>1400/QĐ-UBND ngày 24/7/2017</v>
      </c>
      <c r="G12" s="483">
        <f>VLOOKUP($B12,DATA!$B$14:$AU$589,13,0)</f>
        <v>9000</v>
      </c>
      <c r="H12" s="483">
        <f>VLOOKUP($B12,DATA!$B$14:$AU$589,15,0)</f>
        <v>5700</v>
      </c>
      <c r="I12" s="483">
        <f>VLOOKUP($B12,DATA!$B$14:$AU$589,26,0)</f>
        <v>2625</v>
      </c>
      <c r="J12" s="483">
        <f>VLOOKUP($B12,DATA!$B$14:$AU$589,28,0)</f>
        <v>2625</v>
      </c>
      <c r="K12" s="483">
        <f>VLOOKUP($B12,DATA!$B$14:$AU$589,29,0)</f>
        <v>5130</v>
      </c>
      <c r="L12" s="483">
        <f>VLOOKUP($B12,DATA!$B$14:$AU$589,30,0)</f>
        <v>2565</v>
      </c>
      <c r="M12" s="483">
        <f t="shared" si="2"/>
        <v>2565</v>
      </c>
      <c r="N12" s="497">
        <v>100</v>
      </c>
      <c r="O12" s="497"/>
      <c r="P12" s="497" t="str">
        <f>VLOOKUP($B12,DATA!$B$14:$AU$589,33,0)</f>
        <v>Cập nhật số QĐ</v>
      </c>
    </row>
    <row r="13" spans="1:16" s="78" customFormat="1" ht="33.6" customHeight="1">
      <c r="A13" s="485">
        <v>4</v>
      </c>
      <c r="B13" s="494" t="s">
        <v>832</v>
      </c>
      <c r="C13" s="497" t="str">
        <f>VLOOKUP($B13,DATA!$B$14:$AU$589,6,0)</f>
        <v>Đồng Hới</v>
      </c>
      <c r="D13" s="497">
        <f>VLOOKUP($B13,DATA!$B$14:$AU$589,7,0)</f>
        <v>2018</v>
      </c>
      <c r="E13" s="497">
        <f>VLOOKUP($B13,DATA!$B$14:$AU$589,9,0)</f>
        <v>2020</v>
      </c>
      <c r="F13" s="497" t="str">
        <f>VLOOKUP($B13,DATA!$B$14:$AU$589,12,0)</f>
        <v>2143/QĐ-UBND ngày 19/6/2017</v>
      </c>
      <c r="G13" s="483">
        <f>VLOOKUP($B13,DATA!$B$14:$AU$589,13,0)</f>
        <v>5934</v>
      </c>
      <c r="H13" s="483">
        <f>VLOOKUP($B13,DATA!$B$14:$AU$589,15,0)</f>
        <v>5934</v>
      </c>
      <c r="I13" s="483">
        <f>VLOOKUP($B13,DATA!$B$14:$AU$589,26,0)</f>
        <v>2670.3</v>
      </c>
      <c r="J13" s="483">
        <f>VLOOKUP($B13,DATA!$B$14:$AU$589,28,0)</f>
        <v>2670.3</v>
      </c>
      <c r="K13" s="483">
        <f>VLOOKUP($B13,DATA!$B$14:$AU$589,29,0)</f>
        <v>5398</v>
      </c>
      <c r="L13" s="483">
        <f>VLOOKUP($B13,DATA!$B$14:$AU$589,30,0)</f>
        <v>2670.3</v>
      </c>
      <c r="M13" s="483">
        <f t="shared" si="2"/>
        <v>2670.3</v>
      </c>
      <c r="N13" s="497">
        <v>100</v>
      </c>
      <c r="O13" s="497"/>
      <c r="P13" s="497" t="str">
        <f>VLOOKUP($B13,DATA!$B$14:$AU$589,33,0)</f>
        <v>Cập nhật số QĐ và TMĐT và tên dự án</v>
      </c>
    </row>
    <row r="14" spans="1:16" s="78" customFormat="1" ht="33.6" customHeight="1">
      <c r="A14" s="495">
        <v>5</v>
      </c>
      <c r="B14" s="496" t="s">
        <v>833</v>
      </c>
      <c r="C14" s="497" t="str">
        <f>VLOOKUP($B14,DATA!$B$14:$AU$589,6,0)</f>
        <v>Quảng Bình</v>
      </c>
      <c r="D14" s="497">
        <f>VLOOKUP($B14,DATA!$B$14:$AU$589,7,0)</f>
        <v>2018</v>
      </c>
      <c r="E14" s="497">
        <f>VLOOKUP($B14,DATA!$B$14:$AU$589,9,0)</f>
        <v>2020</v>
      </c>
      <c r="F14" s="497" t="str">
        <f>VLOOKUP($B14,DATA!$B$14:$AU$589,12,0)</f>
        <v>3227/QĐ-UBND ngày 14/9/2017</v>
      </c>
      <c r="G14" s="483">
        <f>VLOOKUP($B14,DATA!$B$14:$AU$589,13,0)</f>
        <v>10235.222222222223</v>
      </c>
      <c r="H14" s="483">
        <f>VLOOKUP($B14,DATA!$B$14:$AU$589,15,0)</f>
        <v>10235.222222222223</v>
      </c>
      <c r="I14" s="483">
        <f>VLOOKUP($B14,DATA!$B$14:$AU$589,26,0)</f>
        <v>4416</v>
      </c>
      <c r="J14" s="483">
        <f>VLOOKUP($B14,DATA!$B$14:$AU$589,28,0)</f>
        <v>4416</v>
      </c>
      <c r="K14" s="483">
        <f>VLOOKUP($B14,DATA!$B$14:$AU$589,29,0)</f>
        <v>8712</v>
      </c>
      <c r="L14" s="483">
        <f>VLOOKUP($B14,DATA!$B$14:$AU$589,30,0)</f>
        <v>4356</v>
      </c>
      <c r="M14" s="483">
        <f t="shared" si="2"/>
        <v>4356</v>
      </c>
      <c r="N14" s="497">
        <v>100</v>
      </c>
      <c r="O14" s="497"/>
      <c r="P14" s="497" t="str">
        <f>VLOOKUP($B14,DATA!$B$14:$AU$589,33,0)</f>
        <v>Cập nhật số QĐ</v>
      </c>
    </row>
    <row r="15" spans="1:16" s="78" customFormat="1" ht="33.6" customHeight="1">
      <c r="A15" s="732" t="s">
        <v>472</v>
      </c>
      <c r="B15" s="733" t="s">
        <v>1627</v>
      </c>
      <c r="C15" s="732"/>
      <c r="D15" s="732"/>
      <c r="E15" s="732"/>
      <c r="F15" s="732"/>
      <c r="G15" s="729">
        <f>SUBTOTAL(109,G16:G18)</f>
        <v>24844</v>
      </c>
      <c r="H15" s="729">
        <f t="shared" ref="H15:L15" si="3">SUBTOTAL(109,H16:H18)</f>
        <v>24844</v>
      </c>
      <c r="I15" s="729">
        <f t="shared" si="3"/>
        <v>0</v>
      </c>
      <c r="J15" s="729">
        <f t="shared" si="3"/>
        <v>0</v>
      </c>
      <c r="K15" s="729">
        <f t="shared" si="3"/>
        <v>14906.4</v>
      </c>
      <c r="L15" s="729">
        <f t="shared" si="3"/>
        <v>14906.4</v>
      </c>
      <c r="M15" s="729">
        <f>SUBTOTAL(109,M16:M18)</f>
        <v>7453.2</v>
      </c>
      <c r="N15" s="729"/>
      <c r="O15" s="734"/>
      <c r="P15" s="521"/>
    </row>
    <row r="16" spans="1:16" s="78" customFormat="1" ht="47.25">
      <c r="A16" s="482">
        <v>1</v>
      </c>
      <c r="B16" s="536" t="s">
        <v>795</v>
      </c>
      <c r="C16" s="497" t="str">
        <f>VLOOKUP($B16,DATA!$B$14:$AU$589,6,0)</f>
        <v>Quảng Bình</v>
      </c>
      <c r="D16" s="497">
        <f>VLOOKUP($B16,DATA!$B$14:$AU$589,7,0)</f>
        <v>2019</v>
      </c>
      <c r="E16" s="497">
        <f>VLOOKUP($B16,DATA!$B$14:$AU$589,9,0)</f>
        <v>2021</v>
      </c>
      <c r="F16" s="497" t="str">
        <f>VLOOKUP($B16,DATA!$B$14:$AU$589,12,0)</f>
        <v>3740/QĐ-UBND ngày 30/10/2018</v>
      </c>
      <c r="G16" s="483">
        <f>VLOOKUP($B16,DATA!$B$14:$AU$589,13,0)</f>
        <v>4994</v>
      </c>
      <c r="H16" s="483">
        <f>VLOOKUP($B16,DATA!$B$14:$AU$589,15,0)</f>
        <v>4994</v>
      </c>
      <c r="I16" s="483">
        <f>VLOOKUP($B16,DATA!$B$14:$AU$589,26,0)</f>
        <v>0</v>
      </c>
      <c r="J16" s="483">
        <f>VLOOKUP($B16,DATA!$B$14:$AU$589,28,0)</f>
        <v>0</v>
      </c>
      <c r="K16" s="483">
        <f>VLOOKUP($B16,DATA!$B$14:$AU$589,29,0)</f>
        <v>2996.4</v>
      </c>
      <c r="L16" s="483">
        <f>VLOOKUP($B16,DATA!$B$14:$AU$589,30,0)</f>
        <v>2996.4</v>
      </c>
      <c r="M16" s="483">
        <f>L16*N16/100</f>
        <v>1498.2</v>
      </c>
      <c r="N16" s="497">
        <v>50</v>
      </c>
      <c r="O16" s="497"/>
      <c r="P16" s="497">
        <f>VLOOKUP($B16,DATA!$B$14:$AU$589,33,0)</f>
        <v>0</v>
      </c>
    </row>
    <row r="17" spans="1:16" s="78" customFormat="1" ht="33.6" customHeight="1">
      <c r="A17" s="482">
        <v>2</v>
      </c>
      <c r="B17" s="536" t="s">
        <v>798</v>
      </c>
      <c r="C17" s="497" t="str">
        <f>VLOOKUP($B17,DATA!$B$14:$AU$589,6,0)</f>
        <v>Quảng Bình</v>
      </c>
      <c r="D17" s="497">
        <f>VLOOKUP($B17,DATA!$B$14:$AU$589,7,0)</f>
        <v>2019</v>
      </c>
      <c r="E17" s="497">
        <f>VLOOKUP($B17,DATA!$B$14:$AU$589,9,0)</f>
        <v>2021</v>
      </c>
      <c r="F17" s="497" t="str">
        <f>VLOOKUP($B17,DATA!$B$14:$AU$589,12,0)</f>
        <v>3719/QĐ-UBND ngày 30/10/2018</v>
      </c>
      <c r="G17" s="483">
        <f>VLOOKUP($B17,DATA!$B$14:$AU$589,13,0)</f>
        <v>5000</v>
      </c>
      <c r="H17" s="483">
        <f>VLOOKUP($B17,DATA!$B$14:$AU$589,15,0)</f>
        <v>5000</v>
      </c>
      <c r="I17" s="483">
        <f>VLOOKUP($B17,DATA!$B$14:$AU$589,26,0)</f>
        <v>0</v>
      </c>
      <c r="J17" s="483">
        <f>VLOOKUP($B17,DATA!$B$14:$AU$589,28,0)</f>
        <v>0</v>
      </c>
      <c r="K17" s="483">
        <f>VLOOKUP($B17,DATA!$B$14:$AU$589,29,0)</f>
        <v>3000</v>
      </c>
      <c r="L17" s="483">
        <f>VLOOKUP($B17,DATA!$B$14:$AU$589,30,0)</f>
        <v>3000</v>
      </c>
      <c r="M17" s="483">
        <f>L17*N17/100</f>
        <v>1500</v>
      </c>
      <c r="N17" s="497">
        <v>50</v>
      </c>
      <c r="O17" s="497"/>
      <c r="P17" s="497">
        <f>VLOOKUP($B17,DATA!$B$14:$AU$589,33,0)</f>
        <v>0</v>
      </c>
    </row>
    <row r="18" spans="1:16" s="78" customFormat="1" ht="47.25">
      <c r="A18" s="482">
        <v>3</v>
      </c>
      <c r="B18" s="491" t="s">
        <v>791</v>
      </c>
      <c r="C18" s="497" t="str">
        <f>VLOOKUP($B18,DATA!$B$14:$AU$589,6,0)</f>
        <v>Đồng Hới</v>
      </c>
      <c r="D18" s="497">
        <f>VLOOKUP($B18,DATA!$B$14:$AU$589,7,0)</f>
        <v>2019</v>
      </c>
      <c r="E18" s="497">
        <f>VLOOKUP($B18,DATA!$B$14:$AU$589,9,0)</f>
        <v>2021</v>
      </c>
      <c r="F18" s="497" t="str">
        <f>VLOOKUP($B18,DATA!$B$14:$AU$589,12,0)</f>
        <v>3715/QĐ-UBND ngày 30/10/2018</v>
      </c>
      <c r="G18" s="483">
        <f>VLOOKUP($B18,DATA!$B$14:$AU$589,13,0)</f>
        <v>14850</v>
      </c>
      <c r="H18" s="483">
        <f>VLOOKUP($B18,DATA!$B$14:$AU$589,15,0)</f>
        <v>14850</v>
      </c>
      <c r="I18" s="483">
        <f>VLOOKUP($B18,DATA!$B$14:$AU$589,26,0)</f>
        <v>0</v>
      </c>
      <c r="J18" s="483">
        <f>VLOOKUP($B18,DATA!$B$14:$AU$589,28,0)</f>
        <v>0</v>
      </c>
      <c r="K18" s="483">
        <f>VLOOKUP($B18,DATA!$B$14:$AU$589,29,0)</f>
        <v>8910</v>
      </c>
      <c r="L18" s="483">
        <f>VLOOKUP($B18,DATA!$B$14:$AU$589,30,0)</f>
        <v>8910</v>
      </c>
      <c r="M18" s="483">
        <f>L18*N18/100</f>
        <v>4455</v>
      </c>
      <c r="N18" s="497">
        <v>50</v>
      </c>
      <c r="O18" s="497"/>
      <c r="P18" s="497">
        <f>VLOOKUP($B18,DATA!$B$14:$AU$589,33,0)</f>
        <v>0</v>
      </c>
    </row>
    <row r="25" spans="1:16">
      <c r="D25" s="49"/>
      <c r="E25" s="49"/>
      <c r="M25" s="49"/>
      <c r="N25" s="81"/>
    </row>
    <row r="26" spans="1:16">
      <c r="D26" s="49"/>
      <c r="E26" s="49"/>
      <c r="M26" s="49"/>
      <c r="N26" s="81"/>
    </row>
    <row r="27" spans="1:16">
      <c r="D27" s="49"/>
      <c r="E27" s="49"/>
      <c r="M27" s="49"/>
      <c r="N27" s="81"/>
    </row>
    <row r="28" spans="1:16">
      <c r="D28" s="49"/>
      <c r="E28" s="49"/>
      <c r="M28" s="49"/>
      <c r="N28" s="81"/>
    </row>
    <row r="29" spans="1:16">
      <c r="D29" s="49"/>
      <c r="E29" s="49"/>
      <c r="M29" s="49"/>
      <c r="N29" s="81"/>
    </row>
    <row r="30" spans="1:16">
      <c r="D30" s="49"/>
      <c r="E30" s="49"/>
      <c r="M30" s="49"/>
      <c r="N30" s="81"/>
    </row>
    <row r="31" spans="1:16">
      <c r="D31" s="49"/>
      <c r="E31" s="49"/>
      <c r="M31" s="49"/>
      <c r="N31" s="81"/>
    </row>
    <row r="32" spans="1:16">
      <c r="D32" s="49"/>
      <c r="E32" s="49"/>
      <c r="M32" s="49"/>
      <c r="N32" s="81"/>
    </row>
    <row r="33" spans="4:14">
      <c r="D33" s="49"/>
      <c r="E33" s="49"/>
      <c r="M33" s="49"/>
      <c r="N33" s="81"/>
    </row>
    <row r="34" spans="4:14">
      <c r="D34" s="49"/>
      <c r="E34" s="49"/>
      <c r="M34" s="49"/>
      <c r="N34" s="81"/>
    </row>
    <row r="35" spans="4:14">
      <c r="D35" s="49"/>
      <c r="E35" s="49"/>
      <c r="M35" s="49"/>
      <c r="N35" s="81"/>
    </row>
    <row r="36" spans="4:14">
      <c r="D36" s="49"/>
      <c r="E36" s="49"/>
      <c r="M36" s="49"/>
      <c r="N36" s="81"/>
    </row>
    <row r="37" spans="4:14">
      <c r="D37" s="49"/>
      <c r="E37" s="49"/>
      <c r="M37" s="49"/>
      <c r="N37" s="81"/>
    </row>
    <row r="38" spans="4:14">
      <c r="D38" s="49"/>
      <c r="E38" s="49"/>
      <c r="M38" s="49"/>
      <c r="N38" s="81"/>
    </row>
    <row r="39" spans="4:14">
      <c r="D39" s="49"/>
      <c r="E39" s="49"/>
      <c r="M39" s="49"/>
      <c r="N39" s="81"/>
    </row>
    <row r="40" spans="4:14">
      <c r="D40" s="49"/>
      <c r="E40" s="49"/>
      <c r="M40" s="49"/>
      <c r="N40" s="81"/>
    </row>
    <row r="41" spans="4:14">
      <c r="D41" s="49"/>
      <c r="E41" s="49"/>
      <c r="M41" s="49"/>
      <c r="N41" s="81"/>
    </row>
    <row r="42" spans="4:14">
      <c r="D42" s="49"/>
      <c r="E42" s="49"/>
      <c r="M42" s="49"/>
      <c r="N42" s="81"/>
    </row>
  </sheetData>
  <sortState ref="A16:P18">
    <sortCondition ref="L16:L18"/>
  </sortState>
  <customSheetViews>
    <customSheetView guid="{0B8F73CD-F511-4AF8-BA4E-D1A174525FCD}" scale="90" showPageBreaks="1" hiddenColumns="1">
      <selection activeCell="N2" sqref="N2"/>
      <pageMargins left="0.54166666666666696" right="0.47244094488188998" top="0.74803149606299202" bottom="0.74803149606299202" header="0.31496062992126" footer="0.31496062992126"/>
      <pageSetup paperSize="8" scale="56" orientation="landscape" r:id="rId1"/>
    </customSheetView>
    <customSheetView guid="{1F2FE49A-48DE-4818-8B14-5EF136A05F63}" scale="90" showPageBreaks="1" filter="1" showAutoFilter="1">
      <pane xSplit="2" ySplit="5" topLeftCell="S348" activePane="bottomRight" state="frozen"/>
      <selection pane="bottomRight" activeCell="V353" sqref="V353"/>
      <pageMargins left="0.54166666666666696" right="0.47244094488188998" top="0.74803149606299202" bottom="0.74803149606299202" header="0.31496062992126" footer="0.31496062992126"/>
      <pageSetup paperSize="8" scale="56" orientation="landscape" r:id="rId2"/>
      <autoFilter ref="A5:IQ543">
        <filterColumn colId="4">
          <filters>
            <filter val="1KH-CN"/>
            <filter val="3Y tế"/>
            <filter val="ANQP"/>
            <filter val="GTVT"/>
            <filter val="NN-TL"/>
          </filters>
        </filterColumn>
      </autoFilter>
    </customSheetView>
  </customSheetViews>
  <mergeCells count="20">
    <mergeCell ref="A4:A7"/>
    <mergeCell ref="B4:B7"/>
    <mergeCell ref="C4:C7"/>
    <mergeCell ref="D4:D7"/>
    <mergeCell ref="E4:E7"/>
    <mergeCell ref="I6:I7"/>
    <mergeCell ref="F4:H4"/>
    <mergeCell ref="I4:J5"/>
    <mergeCell ref="F5:F7"/>
    <mergeCell ref="G5:H5"/>
    <mergeCell ref="G6:G7"/>
    <mergeCell ref="H6:H7"/>
    <mergeCell ref="N4:N7"/>
    <mergeCell ref="P4:P7"/>
    <mergeCell ref="M4:M7"/>
    <mergeCell ref="J6:J7"/>
    <mergeCell ref="K4:L5"/>
    <mergeCell ref="K6:K7"/>
    <mergeCell ref="L6:L7"/>
    <mergeCell ref="O4:O7"/>
  </mergeCells>
  <printOptions horizontalCentered="1"/>
  <pageMargins left="0.7" right="0.7" top="0.75" bottom="0.75" header="0.3" footer="0.3"/>
  <pageSetup paperSize="9" scale="60" fitToHeight="0" orientation="landscape" r:id="rId3"/>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4"/>
  <sheetViews>
    <sheetView topLeftCell="A105" zoomScale="70" zoomScaleNormal="70" zoomScaleSheetLayoutView="70" zoomScalePageLayoutView="55" workbookViewId="0">
      <selection activeCell="G108" sqref="G108"/>
    </sheetView>
  </sheetViews>
  <sheetFormatPr defaultColWidth="9" defaultRowHeight="15.75"/>
  <cols>
    <col min="1" max="1" width="5.125" style="672" customWidth="1"/>
    <col min="2" max="2" width="53.75" style="672" customWidth="1"/>
    <col min="3" max="3" width="13.625" style="683" customWidth="1"/>
    <col min="4" max="4" width="13.625" style="683" hidden="1" customWidth="1"/>
    <col min="5" max="6" width="8.625" style="672" customWidth="1"/>
    <col min="7" max="7" width="16.625" style="672" customWidth="1"/>
    <col min="8" max="14" width="10.625" style="672" customWidth="1"/>
    <col min="15" max="15" width="6.625" style="691" customWidth="1"/>
    <col min="16" max="16" width="19.875" style="552" customWidth="1"/>
    <col min="17" max="17" width="19.5" style="683" hidden="1" customWidth="1"/>
    <col min="18" max="16384" width="9" style="672"/>
  </cols>
  <sheetData>
    <row r="1" spans="1:17" s="31" customFormat="1">
      <c r="A1" s="31" t="s">
        <v>680</v>
      </c>
      <c r="B1" s="82"/>
      <c r="C1" s="83"/>
      <c r="D1" s="83"/>
      <c r="E1" s="84"/>
      <c r="F1" s="85"/>
      <c r="G1" s="83"/>
      <c r="N1" s="82"/>
      <c r="O1" s="86"/>
      <c r="P1" s="688"/>
    </row>
    <row r="2" spans="1:17" s="49" customFormat="1">
      <c r="A2" s="49" t="s">
        <v>1589</v>
      </c>
      <c r="B2" s="50"/>
      <c r="C2" s="73"/>
      <c r="D2" s="73"/>
      <c r="E2" s="51"/>
      <c r="F2" s="52"/>
      <c r="G2" s="73"/>
      <c r="N2" s="50"/>
      <c r="O2" s="74"/>
      <c r="P2" s="524"/>
    </row>
    <row r="3" spans="1:17" s="87" customFormat="1">
      <c r="B3" s="88"/>
      <c r="C3" s="89"/>
      <c r="D3" s="89"/>
      <c r="E3" s="90"/>
      <c r="F3" s="91"/>
      <c r="G3" s="89"/>
      <c r="N3" s="88"/>
      <c r="O3" s="92"/>
      <c r="P3" s="93" t="s">
        <v>650</v>
      </c>
      <c r="Q3" s="93" t="s">
        <v>650</v>
      </c>
    </row>
    <row r="4" spans="1:17" s="8" customFormat="1">
      <c r="A4" s="1780" t="s">
        <v>469</v>
      </c>
      <c r="B4" s="1781" t="s">
        <v>1</v>
      </c>
      <c r="C4" s="1780" t="s">
        <v>651</v>
      </c>
      <c r="D4" s="1787" t="s">
        <v>2060</v>
      </c>
      <c r="E4" s="1784" t="s">
        <v>341</v>
      </c>
      <c r="F4" s="1785" t="s">
        <v>165</v>
      </c>
      <c r="G4" s="1780" t="s">
        <v>3</v>
      </c>
      <c r="H4" s="1780"/>
      <c r="I4" s="1780"/>
      <c r="J4" s="1783" t="s">
        <v>788</v>
      </c>
      <c r="K4" s="1783"/>
      <c r="L4" s="1780" t="s">
        <v>611</v>
      </c>
      <c r="M4" s="1780"/>
      <c r="N4" s="1782" t="s">
        <v>790</v>
      </c>
      <c r="O4" s="1782" t="s">
        <v>628</v>
      </c>
      <c r="P4" s="1783" t="s">
        <v>4</v>
      </c>
      <c r="Q4" s="1767" t="s">
        <v>4</v>
      </c>
    </row>
    <row r="5" spans="1:17" s="8" customFormat="1">
      <c r="A5" s="1780"/>
      <c r="B5" s="1781"/>
      <c r="C5" s="1780"/>
      <c r="D5" s="1775"/>
      <c r="E5" s="1784"/>
      <c r="F5" s="1785"/>
      <c r="G5" s="1780" t="s">
        <v>613</v>
      </c>
      <c r="H5" s="1783" t="s">
        <v>6</v>
      </c>
      <c r="I5" s="1783"/>
      <c r="J5" s="1783"/>
      <c r="K5" s="1783"/>
      <c r="L5" s="1780"/>
      <c r="M5" s="1780"/>
      <c r="N5" s="1782"/>
      <c r="O5" s="1782"/>
      <c r="P5" s="1783"/>
      <c r="Q5" s="1767"/>
    </row>
    <row r="6" spans="1:17" s="8" customFormat="1">
      <c r="A6" s="1780"/>
      <c r="B6" s="1781"/>
      <c r="C6" s="1780"/>
      <c r="D6" s="1775"/>
      <c r="E6" s="1784"/>
      <c r="F6" s="1785"/>
      <c r="G6" s="1780"/>
      <c r="H6" s="1782" t="s">
        <v>8</v>
      </c>
      <c r="I6" s="1783" t="s">
        <v>615</v>
      </c>
      <c r="J6" s="1783" t="s">
        <v>8</v>
      </c>
      <c r="K6" s="1783" t="s">
        <v>615</v>
      </c>
      <c r="L6" s="1782" t="s">
        <v>8</v>
      </c>
      <c r="M6" s="1782" t="s">
        <v>789</v>
      </c>
      <c r="N6" s="1782"/>
      <c r="O6" s="1782"/>
      <c r="P6" s="1783"/>
      <c r="Q6" s="1767"/>
    </row>
    <row r="7" spans="1:17" s="8" customFormat="1">
      <c r="A7" s="1780"/>
      <c r="B7" s="1781"/>
      <c r="C7" s="1780"/>
      <c r="D7" s="1776"/>
      <c r="E7" s="1784"/>
      <c r="F7" s="1785"/>
      <c r="G7" s="1780"/>
      <c r="H7" s="1782"/>
      <c r="I7" s="1783"/>
      <c r="J7" s="1783"/>
      <c r="K7" s="1783"/>
      <c r="L7" s="1782"/>
      <c r="M7" s="1782"/>
      <c r="N7" s="1782"/>
      <c r="O7" s="1782"/>
      <c r="P7" s="1786"/>
      <c r="Q7" s="1768"/>
    </row>
    <row r="8" spans="1:17" s="662" customFormat="1" ht="34.5" customHeight="1">
      <c r="A8" s="724"/>
      <c r="B8" s="725" t="s">
        <v>470</v>
      </c>
      <c r="C8" s="724"/>
      <c r="D8" s="724"/>
      <c r="E8" s="724"/>
      <c r="F8" s="724"/>
      <c r="G8" s="724"/>
      <c r="H8" s="726">
        <f t="shared" ref="H8:N8" si="0">SUBTOTAL(109,H9:H166)</f>
        <v>450086.3</v>
      </c>
      <c r="I8" s="726">
        <f t="shared" si="0"/>
        <v>411740.3</v>
      </c>
      <c r="J8" s="726">
        <f t="shared" si="0"/>
        <v>141378.79999999999</v>
      </c>
      <c r="K8" s="726">
        <f t="shared" si="0"/>
        <v>141378.79999999999</v>
      </c>
      <c r="L8" s="726">
        <f t="shared" si="0"/>
        <v>338892</v>
      </c>
      <c r="M8" s="726">
        <f t="shared" si="0"/>
        <v>198803.20000000001</v>
      </c>
      <c r="N8" s="726">
        <f t="shared" si="0"/>
        <v>137604.6</v>
      </c>
      <c r="O8" s="726"/>
      <c r="P8" s="726"/>
      <c r="Q8" s="20"/>
    </row>
    <row r="9" spans="1:17" s="662" customFormat="1" ht="34.5" customHeight="1">
      <c r="A9" s="732" t="s">
        <v>471</v>
      </c>
      <c r="B9" s="733" t="s">
        <v>1625</v>
      </c>
      <c r="C9" s="732"/>
      <c r="D9" s="732"/>
      <c r="E9" s="732"/>
      <c r="F9" s="732"/>
      <c r="G9" s="732"/>
      <c r="H9" s="729">
        <f t="shared" ref="H9:M9" si="1">SUBTOTAL(109,H10:H101)</f>
        <v>400086.3</v>
      </c>
      <c r="I9" s="729">
        <f t="shared" si="1"/>
        <v>367340.3</v>
      </c>
      <c r="J9" s="729">
        <f t="shared" si="1"/>
        <v>141378.79999999999</v>
      </c>
      <c r="K9" s="729">
        <f t="shared" si="1"/>
        <v>141378.79999999999</v>
      </c>
      <c r="L9" s="729">
        <f t="shared" si="1"/>
        <v>311172</v>
      </c>
      <c r="M9" s="729">
        <f t="shared" si="1"/>
        <v>171083.2</v>
      </c>
      <c r="N9" s="729">
        <f>SUBTOTAL(109,N10:N101)</f>
        <v>123744.6</v>
      </c>
      <c r="O9" s="729"/>
      <c r="P9" s="729"/>
      <c r="Q9" s="729"/>
    </row>
    <row r="10" spans="1:17" ht="34.5" customHeight="1">
      <c r="A10" s="484">
        <v>1</v>
      </c>
      <c r="B10" s="498" t="s">
        <v>235</v>
      </c>
      <c r="C10" s="497" t="str">
        <f>VLOOKUP($B10,DATA!$B$14:$AU$589,6,0)</f>
        <v>Bố Trạch</v>
      </c>
      <c r="D10" s="497" t="str">
        <f>VLOOKUP($B10,DATA!$B$14:$AU$589,36,0)</f>
        <v>Nhân Trạch</v>
      </c>
      <c r="E10" s="497">
        <f>VLOOKUP($B10,DATA!$B$14:$AU$589,7,0)</f>
        <v>2017</v>
      </c>
      <c r="F10" s="497">
        <f>VLOOKUP($B10,DATA!$B$14:$AU$589,9,0)</f>
        <v>2019</v>
      </c>
      <c r="G10" s="497" t="str">
        <f>VLOOKUP($B10,DATA!$B$14:$AU$589,12,0)</f>
        <v>3302/QĐ-UBND ngày 24/10/2016</v>
      </c>
      <c r="H10" s="483">
        <f>VLOOKUP($B10,DATA!$B$14:$AU$589,13,0)</f>
        <v>6229</v>
      </c>
      <c r="I10" s="483">
        <f>VLOOKUP($B10,DATA!$B$14:$AU$589,15,0)</f>
        <v>3000</v>
      </c>
      <c r="J10" s="483">
        <f>VLOOKUP($B10,DATA!$B$14:$AU$589,26,0)</f>
        <v>1863</v>
      </c>
      <c r="K10" s="483">
        <f>VLOOKUP($B10,DATA!$B$14:$AU$589,28,0)</f>
        <v>1863</v>
      </c>
      <c r="L10" s="483">
        <f>VLOOKUP($B10,DATA!$B$14:$AU$589,29,0)</f>
        <v>2625</v>
      </c>
      <c r="M10" s="483">
        <f>VLOOKUP($B10,DATA!$B$14:$AU$589,30,0)</f>
        <v>837</v>
      </c>
      <c r="N10" s="483">
        <f t="shared" ref="N10:N41" si="2">M10*O10/100</f>
        <v>837</v>
      </c>
      <c r="O10" s="497">
        <v>100</v>
      </c>
      <c r="P10" s="497"/>
      <c r="Q10" s="497" t="str">
        <f>VLOOKUP($B10,DATA!$B$14:$AU$589,33,0)</f>
        <v>Cập nhật số vốn bố trí</v>
      </c>
    </row>
    <row r="11" spans="1:17" ht="34.5" customHeight="1">
      <c r="A11" s="484">
        <v>2</v>
      </c>
      <c r="B11" s="498" t="s">
        <v>265</v>
      </c>
      <c r="C11" s="497" t="str">
        <f>VLOOKUP($B11,DATA!$B$14:$AU$589,6,0)</f>
        <v>Bố Trạch</v>
      </c>
      <c r="D11" s="497" t="str">
        <f>VLOOKUP($B11,DATA!$B$14:$AU$589,36,0)</f>
        <v>Đức Trạch</v>
      </c>
      <c r="E11" s="497">
        <f>VLOOKUP($B11,DATA!$B$14:$AU$589,7,0)</f>
        <v>2017</v>
      </c>
      <c r="F11" s="497">
        <f>VLOOKUP($B11,DATA!$B$14:$AU$589,9,0)</f>
        <v>2019</v>
      </c>
      <c r="G11" s="497" t="str">
        <f>VLOOKUP($B11,DATA!$B$14:$AU$589,12,0)</f>
        <v>3469/QĐ-UBND ngày 28/10/2016</v>
      </c>
      <c r="H11" s="483">
        <f>VLOOKUP($B11,DATA!$B$14:$AU$589,13,0)</f>
        <v>2894.7</v>
      </c>
      <c r="I11" s="483">
        <f>VLOOKUP($B11,DATA!$B$14:$AU$589,15,0)</f>
        <v>2894.7</v>
      </c>
      <c r="J11" s="483">
        <f>VLOOKUP($B11,DATA!$B$14:$AU$589,26,0)</f>
        <v>1753</v>
      </c>
      <c r="K11" s="483">
        <f>VLOOKUP($B11,DATA!$B$14:$AU$589,28,0)</f>
        <v>1753</v>
      </c>
      <c r="L11" s="483">
        <f>VLOOKUP($B11,DATA!$B$14:$AU$589,29,0)</f>
        <v>2605</v>
      </c>
      <c r="M11" s="483">
        <f>VLOOKUP($B11,DATA!$B$14:$AU$589,30,0)</f>
        <v>852</v>
      </c>
      <c r="N11" s="483">
        <f t="shared" si="2"/>
        <v>852</v>
      </c>
      <c r="O11" s="497">
        <v>100</v>
      </c>
      <c r="P11" s="497"/>
      <c r="Q11" s="497">
        <f>VLOOKUP($B11,DATA!$B$14:$AU$589,33,0)</f>
        <v>0</v>
      </c>
    </row>
    <row r="12" spans="1:17" ht="34.5" customHeight="1">
      <c r="A12" s="484">
        <v>3</v>
      </c>
      <c r="B12" s="498" t="s">
        <v>286</v>
      </c>
      <c r="C12" s="497" t="str">
        <f>VLOOKUP($B12,DATA!$B$14:$AU$589,6,0)</f>
        <v>Quảng Trạch</v>
      </c>
      <c r="D12" s="497" t="str">
        <f>VLOOKUP($B12,DATA!$B$14:$AU$589,36,0)</f>
        <v>Quảng Liên</v>
      </c>
      <c r="E12" s="497">
        <f>VLOOKUP($B12,DATA!$B$14:$AU$589,7,0)</f>
        <v>2017</v>
      </c>
      <c r="F12" s="497">
        <f>VLOOKUP($B12,DATA!$B$14:$AU$589,9,0)</f>
        <v>2019</v>
      </c>
      <c r="G12" s="497" t="str">
        <f>VLOOKUP($B12,DATA!$B$14:$AU$589,12,0)</f>
        <v>3483/QĐ-UBND ngày 28/10/2016</v>
      </c>
      <c r="H12" s="483">
        <f>VLOOKUP($B12,DATA!$B$14:$AU$589,13,0)</f>
        <v>2924</v>
      </c>
      <c r="I12" s="483">
        <f>VLOOKUP($B12,DATA!$B$14:$AU$589,15,0)</f>
        <v>2924</v>
      </c>
      <c r="J12" s="483">
        <f>VLOOKUP($B12,DATA!$B$14:$AU$589,26,0)</f>
        <v>1766</v>
      </c>
      <c r="K12" s="483">
        <f>VLOOKUP($B12,DATA!$B$14:$AU$589,28,0)</f>
        <v>1766</v>
      </c>
      <c r="L12" s="483">
        <f>VLOOKUP($B12,DATA!$B$14:$AU$589,29,0)</f>
        <v>2632</v>
      </c>
      <c r="M12" s="483">
        <f>VLOOKUP($B12,DATA!$B$14:$AU$589,30,0)</f>
        <v>866</v>
      </c>
      <c r="N12" s="483">
        <f t="shared" si="2"/>
        <v>866</v>
      </c>
      <c r="O12" s="497">
        <v>100</v>
      </c>
      <c r="P12" s="497"/>
      <c r="Q12" s="497">
        <f>VLOOKUP($B12,DATA!$B$14:$AU$589,33,0)</f>
        <v>0</v>
      </c>
    </row>
    <row r="13" spans="1:17" ht="34.5" customHeight="1">
      <c r="A13" s="484">
        <v>4</v>
      </c>
      <c r="B13" s="498" t="s">
        <v>241</v>
      </c>
      <c r="C13" s="497" t="str">
        <f>VLOOKUP($B13,DATA!$B$14:$AU$589,6,0)</f>
        <v>Tuyên Hóa</v>
      </c>
      <c r="D13" s="497" t="str">
        <f>VLOOKUP($B13,DATA!$B$14:$AU$589,36,0)</f>
        <v>Văn Hóa</v>
      </c>
      <c r="E13" s="497">
        <f>VLOOKUP($B13,DATA!$B$14:$AU$589,7,0)</f>
        <v>2017</v>
      </c>
      <c r="F13" s="497">
        <f>VLOOKUP($B13,DATA!$B$14:$AU$589,9,0)</f>
        <v>2019</v>
      </c>
      <c r="G13" s="497" t="str">
        <f>VLOOKUP($B13,DATA!$B$14:$AU$589,12,0)</f>
        <v>2481/QĐ-UBND ngày 16/8/2016</v>
      </c>
      <c r="H13" s="483">
        <f>VLOOKUP($B13,DATA!$B$14:$AU$589,13,0)</f>
        <v>2890</v>
      </c>
      <c r="I13" s="483">
        <f>VLOOKUP($B13,DATA!$B$14:$AU$589,15,0)</f>
        <v>2890</v>
      </c>
      <c r="J13" s="483">
        <f>VLOOKUP($B13,DATA!$B$14:$AU$589,26,0)</f>
        <v>1703</v>
      </c>
      <c r="K13" s="483">
        <f>VLOOKUP($B13,DATA!$B$14:$AU$589,28,0)</f>
        <v>1703</v>
      </c>
      <c r="L13" s="483">
        <f>VLOOKUP($B13,DATA!$B$14:$AU$589,29,0)</f>
        <v>2526</v>
      </c>
      <c r="M13" s="483">
        <f>VLOOKUP($B13,DATA!$B$14:$AU$589,30,0)</f>
        <v>898</v>
      </c>
      <c r="N13" s="483">
        <f t="shared" si="2"/>
        <v>898</v>
      </c>
      <c r="O13" s="497">
        <v>100</v>
      </c>
      <c r="P13" s="497"/>
      <c r="Q13" s="497" t="str">
        <f>VLOOKUP($B13,DATA!$B$14:$AU$589,33,0)</f>
        <v>Cập nhật số vốn bố trí</v>
      </c>
    </row>
    <row r="14" spans="1:17" ht="34.5" customHeight="1">
      <c r="A14" s="484">
        <v>5</v>
      </c>
      <c r="B14" s="490" t="s">
        <v>251</v>
      </c>
      <c r="C14" s="497" t="str">
        <f>VLOOKUP($B14,DATA!$B$14:$AU$589,6,0)</f>
        <v>Tuyên Hóa</v>
      </c>
      <c r="D14" s="497" t="str">
        <f>VLOOKUP($B14,DATA!$B$14:$AU$589,36,0)</f>
        <v>Phong Hóa</v>
      </c>
      <c r="E14" s="497">
        <f>VLOOKUP($B14,DATA!$B$14:$AU$589,7,0)</f>
        <v>2017</v>
      </c>
      <c r="F14" s="497">
        <f>VLOOKUP($B14,DATA!$B$14:$AU$589,9,0)</f>
        <v>2019</v>
      </c>
      <c r="G14" s="497" t="str">
        <f>VLOOKUP($B14,DATA!$B$14:$AU$589,12,0)</f>
        <v>2573/QĐ-UBND ngày 25/8/2016</v>
      </c>
      <c r="H14" s="483">
        <f>VLOOKUP($B14,DATA!$B$14:$AU$589,13,0)</f>
        <v>2916</v>
      </c>
      <c r="I14" s="483">
        <f>VLOOKUP($B14,DATA!$B$14:$AU$589,15,0)</f>
        <v>2916</v>
      </c>
      <c r="J14" s="483">
        <f>VLOOKUP($B14,DATA!$B$14:$AU$589,26,0)</f>
        <v>1715</v>
      </c>
      <c r="K14" s="483">
        <f>VLOOKUP($B14,DATA!$B$14:$AU$589,28,0)</f>
        <v>1715</v>
      </c>
      <c r="L14" s="483">
        <f>VLOOKUP($B14,DATA!$B$14:$AU$589,29,0)</f>
        <v>2549</v>
      </c>
      <c r="M14" s="483">
        <f>VLOOKUP($B14,DATA!$B$14:$AU$589,30,0)</f>
        <v>909</v>
      </c>
      <c r="N14" s="483">
        <f t="shared" si="2"/>
        <v>909</v>
      </c>
      <c r="O14" s="497">
        <v>100</v>
      </c>
      <c r="P14" s="497"/>
      <c r="Q14" s="497" t="str">
        <f>VLOOKUP($B14,DATA!$B$14:$AU$589,33,0)</f>
        <v>Cập nhật số vốn bố trí</v>
      </c>
    </row>
    <row r="15" spans="1:17" ht="34.5" customHeight="1">
      <c r="A15" s="484">
        <v>6</v>
      </c>
      <c r="B15" s="498" t="s">
        <v>249</v>
      </c>
      <c r="C15" s="497" t="str">
        <f>VLOOKUP($B15,DATA!$B$14:$AU$589,6,0)</f>
        <v>Lệ Thủy</v>
      </c>
      <c r="D15" s="497" t="str">
        <f>VLOOKUP($B15,DATA!$B$14:$AU$589,36,0)</f>
        <v>Mỹ Thủy</v>
      </c>
      <c r="E15" s="497">
        <f>VLOOKUP($B15,DATA!$B$14:$AU$589,7,0)</f>
        <v>2017</v>
      </c>
      <c r="F15" s="497">
        <f>VLOOKUP($B15,DATA!$B$14:$AU$589,9,0)</f>
        <v>2019</v>
      </c>
      <c r="G15" s="497" t="str">
        <f>VLOOKUP($B15,DATA!$B$14:$AU$589,12,0)</f>
        <v>3312/QĐ-UBND ngày 24/10/2016</v>
      </c>
      <c r="H15" s="483">
        <f>VLOOKUP($B15,DATA!$B$14:$AU$589,13,0)</f>
        <v>2952</v>
      </c>
      <c r="I15" s="483">
        <f>VLOOKUP($B15,DATA!$B$14:$AU$589,15,0)</f>
        <v>2952</v>
      </c>
      <c r="J15" s="483">
        <f>VLOOKUP($B15,DATA!$B$14:$AU$589,26,0)</f>
        <v>1741</v>
      </c>
      <c r="K15" s="483">
        <f>VLOOKUP($B15,DATA!$B$14:$AU$589,28,0)</f>
        <v>1741</v>
      </c>
      <c r="L15" s="483">
        <f>VLOOKUP($B15,DATA!$B$14:$AU$589,29,0)</f>
        <v>2582</v>
      </c>
      <c r="M15" s="483">
        <f>VLOOKUP($B15,DATA!$B$14:$AU$589,30,0)</f>
        <v>916</v>
      </c>
      <c r="N15" s="483">
        <f t="shared" si="2"/>
        <v>916</v>
      </c>
      <c r="O15" s="497">
        <v>100</v>
      </c>
      <c r="P15" s="497"/>
      <c r="Q15" s="497" t="str">
        <f>VLOOKUP($B15,DATA!$B$14:$AU$589,33,0)</f>
        <v>Cập nhật số vốn bố trí</v>
      </c>
    </row>
    <row r="16" spans="1:17" ht="34.5" customHeight="1">
      <c r="A16" s="484">
        <v>7</v>
      </c>
      <c r="B16" s="490" t="s">
        <v>247</v>
      </c>
      <c r="C16" s="497" t="str">
        <f>VLOOKUP($B16,DATA!$B$14:$AU$589,6,0)</f>
        <v>Lệ Thủy</v>
      </c>
      <c r="D16" s="497" t="str">
        <f>VLOOKUP($B16,DATA!$B$14:$AU$589,36,0)</f>
        <v>Ngư Thủy Bắc</v>
      </c>
      <c r="E16" s="497">
        <f>VLOOKUP($B16,DATA!$B$14:$AU$589,7,0)</f>
        <v>2017</v>
      </c>
      <c r="F16" s="497">
        <f>VLOOKUP($B16,DATA!$B$14:$AU$589,9,0)</f>
        <v>2019</v>
      </c>
      <c r="G16" s="497" t="str">
        <f>VLOOKUP($B16,DATA!$B$14:$AU$589,12,0)</f>
        <v>2570/QĐ-UBND ngày 24/8/2016</v>
      </c>
      <c r="H16" s="483">
        <f>VLOOKUP($B16,DATA!$B$14:$AU$589,13,0)</f>
        <v>2992</v>
      </c>
      <c r="I16" s="483">
        <f>VLOOKUP($B16,DATA!$B$14:$AU$589,15,0)</f>
        <v>2992</v>
      </c>
      <c r="J16" s="483">
        <f>VLOOKUP($B16,DATA!$B$14:$AU$589,26,0)</f>
        <v>1759</v>
      </c>
      <c r="K16" s="483">
        <f>VLOOKUP($B16,DATA!$B$14:$AU$589,28,0)</f>
        <v>1759</v>
      </c>
      <c r="L16" s="483">
        <f>VLOOKUP($B16,DATA!$B$14:$AU$589,29,0)</f>
        <v>2618</v>
      </c>
      <c r="M16" s="483">
        <f>VLOOKUP($B16,DATA!$B$14:$AU$589,30,0)</f>
        <v>934</v>
      </c>
      <c r="N16" s="483">
        <f t="shared" si="2"/>
        <v>934</v>
      </c>
      <c r="O16" s="497">
        <v>100</v>
      </c>
      <c r="P16" s="497"/>
      <c r="Q16" s="497" t="str">
        <f>VLOOKUP($B16,DATA!$B$14:$AU$589,33,0)</f>
        <v>Cập nhật số vốn bố trí</v>
      </c>
    </row>
    <row r="17" spans="1:17" ht="34.5" customHeight="1">
      <c r="A17" s="484">
        <v>8</v>
      </c>
      <c r="B17" s="498" t="s">
        <v>307</v>
      </c>
      <c r="C17" s="497" t="str">
        <f>VLOOKUP($B17,DATA!$B$14:$AU$589,6,0)</f>
        <v>Lệ Thủy</v>
      </c>
      <c r="D17" s="497" t="str">
        <f>VLOOKUP($B17,DATA!$B$14:$AU$589,36,0)</f>
        <v>Tân Thủy</v>
      </c>
      <c r="E17" s="497">
        <f>VLOOKUP($B17,DATA!$B$14:$AU$589,7,0)</f>
        <v>2017</v>
      </c>
      <c r="F17" s="497">
        <f>VLOOKUP($B17,DATA!$B$14:$AU$589,9,0)</f>
        <v>2019</v>
      </c>
      <c r="G17" s="497" t="str">
        <f>VLOOKUP($B17,DATA!$B$14:$AU$589,12,0)</f>
        <v>3473/QĐ-UBND ngày 28/10/2016</v>
      </c>
      <c r="H17" s="483">
        <f>VLOOKUP($B17,DATA!$B$14:$AU$589,13,0)</f>
        <v>3045</v>
      </c>
      <c r="I17" s="483">
        <f>VLOOKUP($B17,DATA!$B$14:$AU$589,15,0)</f>
        <v>3045</v>
      </c>
      <c r="J17" s="483">
        <f>VLOOKUP($B17,DATA!$B$14:$AU$589,26,0)</f>
        <v>1796</v>
      </c>
      <c r="K17" s="483">
        <f>VLOOKUP($B17,DATA!$B$14:$AU$589,28,0)</f>
        <v>1796</v>
      </c>
      <c r="L17" s="483">
        <f>VLOOKUP($B17,DATA!$B$14:$AU$589,29,0)</f>
        <v>2741</v>
      </c>
      <c r="M17" s="483">
        <f>VLOOKUP($B17,DATA!$B$14:$AU$589,30,0)</f>
        <v>945</v>
      </c>
      <c r="N17" s="483">
        <f t="shared" si="2"/>
        <v>945</v>
      </c>
      <c r="O17" s="497">
        <v>100</v>
      </c>
      <c r="P17" s="497"/>
      <c r="Q17" s="497">
        <f>VLOOKUP($B17,DATA!$B$14:$AU$589,33,0)</f>
        <v>0</v>
      </c>
    </row>
    <row r="18" spans="1:17" ht="34.5" customHeight="1">
      <c r="A18" s="484">
        <v>9</v>
      </c>
      <c r="B18" s="498" t="s">
        <v>259</v>
      </c>
      <c r="C18" s="497" t="str">
        <f>VLOOKUP($B18,DATA!$B$14:$AU$589,6,0)</f>
        <v>Ba Đồn</v>
      </c>
      <c r="D18" s="497" t="str">
        <f>VLOOKUP($B18,DATA!$B$14:$AU$589,36,0)</f>
        <v>Quảng Hải</v>
      </c>
      <c r="E18" s="497">
        <f>VLOOKUP($B18,DATA!$B$14:$AU$589,7,0)</f>
        <v>2017</v>
      </c>
      <c r="F18" s="497">
        <f>VLOOKUP($B18,DATA!$B$14:$AU$589,9,0)</f>
        <v>2019</v>
      </c>
      <c r="G18" s="497" t="str">
        <f>VLOOKUP($B18,DATA!$B$14:$AU$589,12,0)</f>
        <v>3404/QĐ-UBND ngày 26/11/2015</v>
      </c>
      <c r="H18" s="483">
        <f>VLOOKUP($B18,DATA!$B$14:$AU$589,13,0)</f>
        <v>3200</v>
      </c>
      <c r="I18" s="483">
        <f>VLOOKUP($B18,DATA!$B$14:$AU$589,15,0)</f>
        <v>3200</v>
      </c>
      <c r="J18" s="483">
        <f>VLOOKUP($B18,DATA!$B$14:$AU$589,26,0)</f>
        <v>1883</v>
      </c>
      <c r="K18" s="483">
        <f>VLOOKUP($B18,DATA!$B$14:$AU$589,28,0)</f>
        <v>1883</v>
      </c>
      <c r="L18" s="483">
        <f>VLOOKUP($B18,DATA!$B$14:$AU$589,29,0)</f>
        <v>2805</v>
      </c>
      <c r="M18" s="483">
        <f>VLOOKUP($B18,DATA!$B$14:$AU$589,30,0)</f>
        <v>997</v>
      </c>
      <c r="N18" s="483">
        <f t="shared" si="2"/>
        <v>997</v>
      </c>
      <c r="O18" s="497">
        <v>100</v>
      </c>
      <c r="P18" s="497"/>
      <c r="Q18" s="497" t="str">
        <f>VLOOKUP($B18,DATA!$B$14:$AU$589,33,0)</f>
        <v>Cập nhật số vốn bố trí</v>
      </c>
    </row>
    <row r="19" spans="1:17" ht="34.5" customHeight="1">
      <c r="A19" s="484">
        <v>10</v>
      </c>
      <c r="B19" s="498" t="s">
        <v>284</v>
      </c>
      <c r="C19" s="497" t="str">
        <f>VLOOKUP($B19,DATA!$B$14:$AU$589,6,0)</f>
        <v>Ba Đồn</v>
      </c>
      <c r="D19" s="497" t="str">
        <f>VLOOKUP($B19,DATA!$B$14:$AU$589,36,0)</f>
        <v>Quảng Long</v>
      </c>
      <c r="E19" s="497">
        <f>VLOOKUP($B19,DATA!$B$14:$AU$589,7,0)</f>
        <v>2017</v>
      </c>
      <c r="F19" s="497">
        <f>VLOOKUP($B19,DATA!$B$14:$AU$589,9,0)</f>
        <v>2019</v>
      </c>
      <c r="G19" s="497" t="str">
        <f>VLOOKUP($B19,DATA!$B$14:$AU$589,12,0)</f>
        <v>3407/QĐ-UBND ngày 27/10/2016</v>
      </c>
      <c r="H19" s="483">
        <f>VLOOKUP($B19,DATA!$B$14:$AU$589,13,0)</f>
        <v>3439</v>
      </c>
      <c r="I19" s="483">
        <f>VLOOKUP($B19,DATA!$B$14:$AU$589,15,0)</f>
        <v>3439</v>
      </c>
      <c r="J19" s="483">
        <f>VLOOKUP($B19,DATA!$B$14:$AU$589,26,0)</f>
        <v>2048</v>
      </c>
      <c r="K19" s="483">
        <f>VLOOKUP($B19,DATA!$B$14:$AU$589,28,0)</f>
        <v>2048</v>
      </c>
      <c r="L19" s="483">
        <f>VLOOKUP($B19,DATA!$B$14:$AU$589,29,0)</f>
        <v>3095</v>
      </c>
      <c r="M19" s="483">
        <f>VLOOKUP($B19,DATA!$B$14:$AU$589,30,0)</f>
        <v>1047</v>
      </c>
      <c r="N19" s="483">
        <f t="shared" si="2"/>
        <v>1047</v>
      </c>
      <c r="O19" s="497">
        <v>100</v>
      </c>
      <c r="P19" s="497"/>
      <c r="Q19" s="497">
        <f>VLOOKUP($B19,DATA!$B$14:$AU$589,33,0)</f>
        <v>0</v>
      </c>
    </row>
    <row r="20" spans="1:17" ht="34.5" customHeight="1">
      <c r="A20" s="484">
        <v>11</v>
      </c>
      <c r="B20" s="498" t="s">
        <v>280</v>
      </c>
      <c r="C20" s="497" t="str">
        <f>VLOOKUP($B20,DATA!$B$14:$AU$589,6,0)</f>
        <v>Ba Đồn</v>
      </c>
      <c r="D20" s="497" t="str">
        <f>VLOOKUP($B20,DATA!$B$14:$AU$589,36,0)</f>
        <v>Quảng Trung</v>
      </c>
      <c r="E20" s="497">
        <f>VLOOKUP($B20,DATA!$B$14:$AU$589,7,0)</f>
        <v>2017</v>
      </c>
      <c r="F20" s="497">
        <f>VLOOKUP($B20,DATA!$B$14:$AU$589,9,0)</f>
        <v>2019</v>
      </c>
      <c r="G20" s="497" t="str">
        <f>VLOOKUP($B20,DATA!$B$14:$AU$589,12,0)</f>
        <v>3406/QĐ-UBND ngày 27/10/2016</v>
      </c>
      <c r="H20" s="483">
        <f>VLOOKUP($B20,DATA!$B$14:$AU$589,13,0)</f>
        <v>3500</v>
      </c>
      <c r="I20" s="483">
        <f>VLOOKUP($B20,DATA!$B$14:$AU$589,15,0)</f>
        <v>3500</v>
      </c>
      <c r="J20" s="483">
        <f>VLOOKUP($B20,DATA!$B$14:$AU$589,26,0)</f>
        <v>2075</v>
      </c>
      <c r="K20" s="483">
        <f>VLOOKUP($B20,DATA!$B$14:$AU$589,28,0)</f>
        <v>2075</v>
      </c>
      <c r="L20" s="483">
        <f>VLOOKUP($B20,DATA!$B$14:$AU$589,29,0)</f>
        <v>3150</v>
      </c>
      <c r="M20" s="483">
        <f>VLOOKUP($B20,DATA!$B$14:$AU$589,30,0)</f>
        <v>1075</v>
      </c>
      <c r="N20" s="483">
        <f t="shared" si="2"/>
        <v>1075</v>
      </c>
      <c r="O20" s="497">
        <v>100</v>
      </c>
      <c r="P20" s="497"/>
      <c r="Q20" s="497">
        <f>VLOOKUP($B20,DATA!$B$14:$AU$589,33,0)</f>
        <v>0</v>
      </c>
    </row>
    <row r="21" spans="1:17" ht="34.5" customHeight="1">
      <c r="A21" s="484">
        <v>12</v>
      </c>
      <c r="B21" s="498" t="s">
        <v>1603</v>
      </c>
      <c r="C21" s="497" t="str">
        <f>VLOOKUP($B21,DATA!$B$14:$AU$589,6,0)</f>
        <v>Quảng Ninh</v>
      </c>
      <c r="D21" s="497" t="str">
        <f>VLOOKUP($B21,DATA!$B$14:$AU$589,36,0)</f>
        <v>Quán Hàu</v>
      </c>
      <c r="E21" s="497">
        <f>VLOOKUP($B21,DATA!$B$14:$AU$589,7,0)</f>
        <v>2017</v>
      </c>
      <c r="F21" s="497">
        <f>VLOOKUP($B21,DATA!$B$14:$AU$589,9,0)</f>
        <v>2019</v>
      </c>
      <c r="G21" s="497" t="str">
        <f>VLOOKUP($B21,DATA!$B$14:$AU$589,12,0)</f>
        <v>3481/QĐ-UBND ngày 28/10/2016</v>
      </c>
      <c r="H21" s="483">
        <f>VLOOKUP($B21,DATA!$B$14:$AU$589,13,0)</f>
        <v>3450</v>
      </c>
      <c r="I21" s="483">
        <f>VLOOKUP($B21,DATA!$B$14:$AU$589,15,0)</f>
        <v>3450</v>
      </c>
      <c r="J21" s="483">
        <f>VLOOKUP($B21,DATA!$B$14:$AU$589,26,0)</f>
        <v>2028</v>
      </c>
      <c r="K21" s="483">
        <f>VLOOKUP($B21,DATA!$B$14:$AU$589,28,0)</f>
        <v>2028</v>
      </c>
      <c r="L21" s="483">
        <f>VLOOKUP($B21,DATA!$B$14:$AU$589,29,0)</f>
        <v>3105</v>
      </c>
      <c r="M21" s="483">
        <f>VLOOKUP($B21,DATA!$B$14:$AU$589,30,0)</f>
        <v>1077</v>
      </c>
      <c r="N21" s="483">
        <f t="shared" si="2"/>
        <v>1077</v>
      </c>
      <c r="O21" s="497">
        <v>100</v>
      </c>
      <c r="P21" s="497"/>
      <c r="Q21" s="497">
        <f>VLOOKUP($B21,DATA!$B$14:$AU$589,33,0)</f>
        <v>0</v>
      </c>
    </row>
    <row r="22" spans="1:17" ht="34.5" customHeight="1">
      <c r="A22" s="484">
        <v>13</v>
      </c>
      <c r="B22" s="498" t="s">
        <v>257</v>
      </c>
      <c r="C22" s="497" t="str">
        <f>VLOOKUP($B22,DATA!$B$14:$AU$589,6,0)</f>
        <v>Đồng Hới</v>
      </c>
      <c r="D22" s="497" t="str">
        <f>VLOOKUP($B22,DATA!$B$14:$AU$589,36,0)</f>
        <v>Bắc Lý</v>
      </c>
      <c r="E22" s="497">
        <f>VLOOKUP($B22,DATA!$B$14:$AU$589,7,0)</f>
        <v>2017</v>
      </c>
      <c r="F22" s="497">
        <f>VLOOKUP($B22,DATA!$B$14:$AU$589,9,0)</f>
        <v>2019</v>
      </c>
      <c r="G22" s="497" t="str">
        <f>VLOOKUP($B22,DATA!$B$14:$AU$589,12,0)</f>
        <v>2368/QĐ-UBND ngày 8/8/2016</v>
      </c>
      <c r="H22" s="483">
        <f>VLOOKUP($B22,DATA!$B$14:$AU$589,13,0)</f>
        <v>3523</v>
      </c>
      <c r="I22" s="483">
        <f>VLOOKUP($B22,DATA!$B$14:$AU$589,15,0)</f>
        <v>3523</v>
      </c>
      <c r="J22" s="483">
        <f>VLOOKUP($B22,DATA!$B$14:$AU$589,26,0)</f>
        <v>2086</v>
      </c>
      <c r="K22" s="483">
        <f>VLOOKUP($B22,DATA!$B$14:$AU$589,28,0)</f>
        <v>2086</v>
      </c>
      <c r="L22" s="483">
        <f>VLOOKUP($B22,DATA!$B$14:$AU$589,29,0)</f>
        <v>3071</v>
      </c>
      <c r="M22" s="483">
        <f>VLOOKUP($B22,DATA!$B$14:$AU$589,30,0)</f>
        <v>1085</v>
      </c>
      <c r="N22" s="483">
        <f t="shared" si="2"/>
        <v>1085</v>
      </c>
      <c r="O22" s="497">
        <v>100</v>
      </c>
      <c r="P22" s="497"/>
      <c r="Q22" s="497" t="str">
        <f>VLOOKUP($B22,DATA!$B$14:$AU$589,33,0)</f>
        <v>Cập nhật số vốn bố trí</v>
      </c>
    </row>
    <row r="23" spans="1:17" ht="34.5" customHeight="1">
      <c r="A23" s="484">
        <v>14</v>
      </c>
      <c r="B23" s="498" t="s">
        <v>869</v>
      </c>
      <c r="C23" s="497" t="str">
        <f>VLOOKUP($B23,DATA!$B$14:$AU$589,6,0)</f>
        <v>Bố Trạch</v>
      </c>
      <c r="D23" s="497" t="str">
        <f>VLOOKUP($B23,DATA!$B$14:$AU$589,36,0)</f>
        <v>Bắc Trạch</v>
      </c>
      <c r="E23" s="497">
        <f>VLOOKUP($B23,DATA!$B$14:$AU$589,7,0)</f>
        <v>2017</v>
      </c>
      <c r="F23" s="497">
        <f>VLOOKUP($B23,DATA!$B$14:$AU$589,9,0)</f>
        <v>2019</v>
      </c>
      <c r="G23" s="497" t="str">
        <f>VLOOKUP($B23,DATA!$B$14:$AU$589,12,0)</f>
        <v>3459/QĐ-UBND ngày 28/10/2016</v>
      </c>
      <c r="H23" s="483">
        <f>VLOOKUP($B23,DATA!$B$14:$AU$589,13,0)</f>
        <v>3351</v>
      </c>
      <c r="I23" s="483">
        <f>VLOOKUP($B23,DATA!$B$14:$AU$589,15,0)</f>
        <v>3351</v>
      </c>
      <c r="J23" s="483">
        <f>VLOOKUP($B23,DATA!$B$14:$AU$589,26,0)</f>
        <v>1926</v>
      </c>
      <c r="K23" s="483">
        <f>VLOOKUP($B23,DATA!$B$14:$AU$589,28,0)</f>
        <v>1926</v>
      </c>
      <c r="L23" s="483">
        <f>VLOOKUP($B23,DATA!$B$14:$AU$589,29,0)</f>
        <v>2941</v>
      </c>
      <c r="M23" s="483">
        <f>VLOOKUP($B23,DATA!$B$14:$AU$589,30,0)</f>
        <v>1090</v>
      </c>
      <c r="N23" s="483">
        <f t="shared" si="2"/>
        <v>1090</v>
      </c>
      <c r="O23" s="497">
        <v>100</v>
      </c>
      <c r="P23" s="497"/>
      <c r="Q23" s="497" t="str">
        <f>VLOOKUP($B23,DATA!$B$14:$AU$589,33,0)</f>
        <v>Cập nhật số vốn bố trí</v>
      </c>
    </row>
    <row r="24" spans="1:17" ht="34.5" customHeight="1">
      <c r="A24" s="484">
        <v>15</v>
      </c>
      <c r="B24" s="498" t="s">
        <v>239</v>
      </c>
      <c r="C24" s="497" t="str">
        <f>VLOOKUP($B24,DATA!$B$14:$AU$589,6,0)</f>
        <v>Tuyên Hóa</v>
      </c>
      <c r="D24" s="497" t="str">
        <f>VLOOKUP($B24,DATA!$B$14:$AU$589,36,0)</f>
        <v>Phong Hóa</v>
      </c>
      <c r="E24" s="497">
        <f>VLOOKUP($B24,DATA!$B$14:$AU$589,7,0)</f>
        <v>2017</v>
      </c>
      <c r="F24" s="497">
        <f>VLOOKUP($B24,DATA!$B$14:$AU$589,9,0)</f>
        <v>2019</v>
      </c>
      <c r="G24" s="497" t="str">
        <f>VLOOKUP($B24,DATA!$B$14:$AU$589,12,0)</f>
        <v>2642/QĐ-UBND ngày 29/8/2016</v>
      </c>
      <c r="H24" s="483">
        <f>VLOOKUP($B24,DATA!$B$14:$AU$589,13,0)</f>
        <v>3777</v>
      </c>
      <c r="I24" s="483">
        <f>VLOOKUP($B24,DATA!$B$14:$AU$589,15,0)</f>
        <v>3777</v>
      </c>
      <c r="J24" s="483">
        <f>VLOOKUP($B24,DATA!$B$14:$AU$589,26,0)</f>
        <v>2300</v>
      </c>
      <c r="K24" s="483">
        <f>VLOOKUP($B24,DATA!$B$14:$AU$589,28,0)</f>
        <v>2300</v>
      </c>
      <c r="L24" s="483">
        <f>VLOOKUP($B24,DATA!$B$14:$AU$589,29,0)</f>
        <v>3299</v>
      </c>
      <c r="M24" s="483">
        <f>VLOOKUP($B24,DATA!$B$14:$AU$589,30,0)</f>
        <v>1099</v>
      </c>
      <c r="N24" s="483">
        <f t="shared" si="2"/>
        <v>1099</v>
      </c>
      <c r="O24" s="497">
        <v>100</v>
      </c>
      <c r="P24" s="497"/>
      <c r="Q24" s="497" t="str">
        <f>VLOOKUP($B24,DATA!$B$14:$AU$589,33,0)</f>
        <v>Cập nhật số vốn bố trí</v>
      </c>
    </row>
    <row r="25" spans="1:17" ht="34.5" customHeight="1">
      <c r="A25" s="484">
        <v>16</v>
      </c>
      <c r="B25" s="498" t="s">
        <v>296</v>
      </c>
      <c r="C25" s="497" t="str">
        <f>VLOOKUP($B25,DATA!$B$14:$AU$589,6,0)</f>
        <v>Quảng Trạch</v>
      </c>
      <c r="D25" s="497" t="str">
        <f>VLOOKUP($B25,DATA!$B$14:$AU$589,36,0)</f>
        <v>Quảng Trường</v>
      </c>
      <c r="E25" s="497">
        <f>VLOOKUP($B25,DATA!$B$14:$AU$589,7,0)</f>
        <v>2017</v>
      </c>
      <c r="F25" s="497">
        <f>VLOOKUP($B25,DATA!$B$14:$AU$589,9,0)</f>
        <v>2019</v>
      </c>
      <c r="G25" s="497" t="str">
        <f>VLOOKUP($B25,DATA!$B$14:$AU$589,12,0)</f>
        <v>3478/QĐ-UBND ngày 28/10/2016</v>
      </c>
      <c r="H25" s="483">
        <f>VLOOKUP($B25,DATA!$B$14:$AU$589,13,0)</f>
        <v>3500</v>
      </c>
      <c r="I25" s="483">
        <f>VLOOKUP($B25,DATA!$B$14:$AU$589,15,0)</f>
        <v>3500</v>
      </c>
      <c r="J25" s="483">
        <f>VLOOKUP($B25,DATA!$B$14:$AU$589,26,0)</f>
        <v>2050</v>
      </c>
      <c r="K25" s="483">
        <f>VLOOKUP($B25,DATA!$B$14:$AU$589,28,0)</f>
        <v>2050</v>
      </c>
      <c r="L25" s="483">
        <f>VLOOKUP($B25,DATA!$B$14:$AU$589,29,0)</f>
        <v>3150</v>
      </c>
      <c r="M25" s="483">
        <f>VLOOKUP($B25,DATA!$B$14:$AU$589,30,0)</f>
        <v>1100</v>
      </c>
      <c r="N25" s="483">
        <f t="shared" si="2"/>
        <v>1100</v>
      </c>
      <c r="O25" s="497">
        <v>100</v>
      </c>
      <c r="P25" s="497"/>
      <c r="Q25" s="497">
        <f>VLOOKUP($B25,DATA!$B$14:$AU$589,33,0)</f>
        <v>0</v>
      </c>
    </row>
    <row r="26" spans="1:17" ht="34.5" customHeight="1">
      <c r="A26" s="484">
        <v>17</v>
      </c>
      <c r="B26" s="498" t="s">
        <v>255</v>
      </c>
      <c r="C26" s="497" t="str">
        <f>VLOOKUP($B26,DATA!$B$14:$AU$589,6,0)</f>
        <v>Lệ Thủy</v>
      </c>
      <c r="D26" s="497" t="str">
        <f>VLOOKUP($B26,DATA!$B$14:$AU$589,36,0)</f>
        <v>Thanh Thủy</v>
      </c>
      <c r="E26" s="497">
        <f>VLOOKUP($B26,DATA!$B$14:$AU$589,7,0)</f>
        <v>2017</v>
      </c>
      <c r="F26" s="497">
        <f>VLOOKUP($B26,DATA!$B$14:$AU$589,9,0)</f>
        <v>2019</v>
      </c>
      <c r="G26" s="497" t="str">
        <f>VLOOKUP($B26,DATA!$B$14:$AU$589,12,0)</f>
        <v>2956/QĐ-UBND ngày 28/9/2016</v>
      </c>
      <c r="H26" s="483">
        <f>VLOOKUP($B26,DATA!$B$14:$AU$589,13,0)</f>
        <v>3637</v>
      </c>
      <c r="I26" s="483">
        <f>VLOOKUP($B26,DATA!$B$14:$AU$589,15,0)</f>
        <v>3637</v>
      </c>
      <c r="J26" s="483">
        <f>VLOOKUP($B26,DATA!$B$14:$AU$589,26,0)</f>
        <v>2134</v>
      </c>
      <c r="K26" s="483">
        <f>VLOOKUP($B26,DATA!$B$14:$AU$589,28,0)</f>
        <v>2134</v>
      </c>
      <c r="L26" s="483">
        <f>VLOOKUP($B26,DATA!$B$14:$AU$589,29,0)</f>
        <v>3198</v>
      </c>
      <c r="M26" s="483">
        <f>VLOOKUP($B26,DATA!$B$14:$AU$589,30,0)</f>
        <v>1139</v>
      </c>
      <c r="N26" s="483">
        <f t="shared" si="2"/>
        <v>1139</v>
      </c>
      <c r="O26" s="497">
        <v>100</v>
      </c>
      <c r="P26" s="497"/>
      <c r="Q26" s="497" t="str">
        <f>VLOOKUP($B26,DATA!$B$14:$AU$589,33,0)</f>
        <v>Cập nhật số vốn bố trí</v>
      </c>
    </row>
    <row r="27" spans="1:17" ht="34.5" customHeight="1">
      <c r="A27" s="484">
        <v>18</v>
      </c>
      <c r="B27" s="498" t="s">
        <v>260</v>
      </c>
      <c r="C27" s="497" t="str">
        <f>VLOOKUP($B27,DATA!$B$14:$AU$589,6,0)</f>
        <v>Quảng Ninh</v>
      </c>
      <c r="D27" s="497" t="str">
        <f>VLOOKUP($B27,DATA!$B$14:$AU$589,36,0)</f>
        <v>Quán Hàu</v>
      </c>
      <c r="E27" s="497">
        <f>VLOOKUP($B27,DATA!$B$14:$AU$589,7,0)</f>
        <v>2017</v>
      </c>
      <c r="F27" s="497">
        <f>VLOOKUP($B27,DATA!$B$14:$AU$589,9,0)</f>
        <v>2019</v>
      </c>
      <c r="G27" s="497" t="str">
        <f>VLOOKUP($B27,DATA!$B$14:$AU$589,12,0)</f>
        <v>254/QĐ-UBND ngày 29/01/2016</v>
      </c>
      <c r="H27" s="483">
        <f>VLOOKUP($B27,DATA!$B$14:$AU$589,13,0)</f>
        <v>3710</v>
      </c>
      <c r="I27" s="483">
        <f>VLOOKUP($B27,DATA!$B$14:$AU$589,15,0)</f>
        <v>3710</v>
      </c>
      <c r="J27" s="483">
        <f>VLOOKUP($B27,DATA!$B$14:$AU$589,26,0)</f>
        <v>2194</v>
      </c>
      <c r="K27" s="483">
        <f>VLOOKUP($B27,DATA!$B$14:$AU$589,28,0)</f>
        <v>2194</v>
      </c>
      <c r="L27" s="483">
        <f>VLOOKUP($B27,DATA!$B$14:$AU$589,29,0)</f>
        <v>3239</v>
      </c>
      <c r="M27" s="483">
        <f>VLOOKUP($B27,DATA!$B$14:$AU$589,30,0)</f>
        <v>1145</v>
      </c>
      <c r="N27" s="483">
        <f t="shared" si="2"/>
        <v>1145</v>
      </c>
      <c r="O27" s="497">
        <v>100</v>
      </c>
      <c r="P27" s="497"/>
      <c r="Q27" s="497" t="str">
        <f>VLOOKUP($B27,DATA!$B$14:$AU$589,33,0)</f>
        <v>Cập nhật số vốn bố trí</v>
      </c>
    </row>
    <row r="28" spans="1:17" ht="34.5" customHeight="1">
      <c r="A28" s="484">
        <v>19</v>
      </c>
      <c r="B28" s="498" t="s">
        <v>300</v>
      </c>
      <c r="C28" s="497" t="str">
        <f>VLOOKUP($B28,DATA!$B$14:$AU$589,6,0)</f>
        <v>Quảng Ninh</v>
      </c>
      <c r="D28" s="497" t="str">
        <f>VLOOKUP($B28,DATA!$B$14:$AU$589,36,0)</f>
        <v>Duy Ninh</v>
      </c>
      <c r="E28" s="497">
        <f>VLOOKUP($B28,DATA!$B$14:$AU$589,7,0)</f>
        <v>2017</v>
      </c>
      <c r="F28" s="497">
        <f>VLOOKUP($B28,DATA!$B$14:$AU$589,9,0)</f>
        <v>2019</v>
      </c>
      <c r="G28" s="497" t="str">
        <f>VLOOKUP($B28,DATA!$B$14:$AU$589,12,0)</f>
        <v>3488/QĐ-UBND ngày 28/10/2016</v>
      </c>
      <c r="H28" s="483">
        <f>VLOOKUP($B28,DATA!$B$14:$AU$589,13,0)</f>
        <v>3500</v>
      </c>
      <c r="I28" s="483">
        <f>VLOOKUP($B28,DATA!$B$14:$AU$589,15,0)</f>
        <v>3500</v>
      </c>
      <c r="J28" s="483">
        <f>VLOOKUP($B28,DATA!$B$14:$AU$589,26,0)</f>
        <v>1975</v>
      </c>
      <c r="K28" s="483">
        <f>VLOOKUP($B28,DATA!$B$14:$AU$589,28,0)</f>
        <v>1975</v>
      </c>
      <c r="L28" s="483">
        <f>VLOOKUP($B28,DATA!$B$14:$AU$589,29,0)</f>
        <v>3150</v>
      </c>
      <c r="M28" s="483">
        <f>VLOOKUP($B28,DATA!$B$14:$AU$589,30,0)</f>
        <v>1175</v>
      </c>
      <c r="N28" s="483">
        <f t="shared" si="2"/>
        <v>1175</v>
      </c>
      <c r="O28" s="497">
        <v>100</v>
      </c>
      <c r="P28" s="497"/>
      <c r="Q28" s="497">
        <f>VLOOKUP($B28,DATA!$B$14:$AU$589,33,0)</f>
        <v>0</v>
      </c>
    </row>
    <row r="29" spans="1:17" ht="34.5" customHeight="1">
      <c r="A29" s="484">
        <v>20</v>
      </c>
      <c r="B29" s="689" t="s">
        <v>875</v>
      </c>
      <c r="C29" s="497" t="str">
        <f>VLOOKUP($B29,DATA!$B$14:$AU$589,6,0)</f>
        <v>Quảng Ninh</v>
      </c>
      <c r="D29" s="497" t="str">
        <f>VLOOKUP($B29,DATA!$B$14:$AU$589,36,0)</f>
        <v>Võ Ninh</v>
      </c>
      <c r="E29" s="497">
        <f>VLOOKUP($B29,DATA!$B$14:$AU$589,7,0)</f>
        <v>2017</v>
      </c>
      <c r="F29" s="497">
        <f>VLOOKUP($B29,DATA!$B$14:$AU$589,9,0)</f>
        <v>2019</v>
      </c>
      <c r="G29" s="497" t="str">
        <f>VLOOKUP($B29,DATA!$B$14:$AU$589,12,0)</f>
        <v>3387/QĐ-UBND ngày 28/10/2016</v>
      </c>
      <c r="H29" s="483">
        <f>VLOOKUP($B29,DATA!$B$14:$AU$589,13,0)</f>
        <v>3859</v>
      </c>
      <c r="I29" s="483">
        <f>VLOOKUP($B29,DATA!$B$14:$AU$589,15,0)</f>
        <v>3859</v>
      </c>
      <c r="J29" s="483">
        <f>VLOOKUP($B29,DATA!$B$14:$AU$589,26,0)</f>
        <v>2261</v>
      </c>
      <c r="K29" s="483">
        <f>VLOOKUP($B29,DATA!$B$14:$AU$589,28,0)</f>
        <v>2261</v>
      </c>
      <c r="L29" s="483">
        <f>VLOOKUP($B29,DATA!$B$14:$AU$589,29,0)</f>
        <v>3473</v>
      </c>
      <c r="M29" s="483">
        <f>VLOOKUP($B29,DATA!$B$14:$AU$589,30,0)</f>
        <v>1212</v>
      </c>
      <c r="N29" s="483">
        <f t="shared" si="2"/>
        <v>1212</v>
      </c>
      <c r="O29" s="497">
        <v>100</v>
      </c>
      <c r="P29" s="497"/>
      <c r="Q29" s="497">
        <f>VLOOKUP($B29,DATA!$B$14:$AU$589,33,0)</f>
        <v>0</v>
      </c>
    </row>
    <row r="30" spans="1:17" ht="34.5" customHeight="1">
      <c r="A30" s="484">
        <v>21</v>
      </c>
      <c r="B30" s="498" t="s">
        <v>253</v>
      </c>
      <c r="C30" s="497" t="str">
        <f>VLOOKUP($B30,DATA!$B$14:$AU$589,6,0)</f>
        <v>Quảng Ninh</v>
      </c>
      <c r="D30" s="497" t="str">
        <f>VLOOKUP($B30,DATA!$B$14:$AU$589,36,0)</f>
        <v>Võ Ninh</v>
      </c>
      <c r="E30" s="497">
        <f>VLOOKUP($B30,DATA!$B$14:$AU$589,7,0)</f>
        <v>2017</v>
      </c>
      <c r="F30" s="497">
        <f>VLOOKUP($B30,DATA!$B$14:$AU$589,9,0)</f>
        <v>2019</v>
      </c>
      <c r="G30" s="497" t="str">
        <f>VLOOKUP($B30,DATA!$B$14:$AU$589,12,0)</f>
        <v>2175/QĐ-UBND ngày 22/7/2016</v>
      </c>
      <c r="H30" s="483">
        <f>VLOOKUP($B30,DATA!$B$14:$AU$589,13,0)</f>
        <v>3891</v>
      </c>
      <c r="I30" s="483">
        <f>VLOOKUP($B30,DATA!$B$14:$AU$589,15,0)</f>
        <v>3891</v>
      </c>
      <c r="J30" s="483">
        <f>VLOOKUP($B30,DATA!$B$14:$AU$589,26,0)</f>
        <v>2276</v>
      </c>
      <c r="K30" s="483">
        <f>VLOOKUP($B30,DATA!$B$14:$AU$589,28,0)</f>
        <v>2276</v>
      </c>
      <c r="L30" s="483">
        <f>VLOOKUP($B30,DATA!$B$14:$AU$589,29,0)</f>
        <v>3402</v>
      </c>
      <c r="M30" s="483">
        <f>VLOOKUP($B30,DATA!$B$14:$AU$589,30,0)</f>
        <v>1226</v>
      </c>
      <c r="N30" s="483">
        <f t="shared" si="2"/>
        <v>1226</v>
      </c>
      <c r="O30" s="497">
        <v>100</v>
      </c>
      <c r="P30" s="497"/>
      <c r="Q30" s="497" t="str">
        <f>VLOOKUP($B30,DATA!$B$14:$AU$589,33,0)</f>
        <v>Cập nhật số vốn bố trí</v>
      </c>
    </row>
    <row r="31" spans="1:17" ht="34.5" customHeight="1">
      <c r="A31" s="484">
        <v>22</v>
      </c>
      <c r="B31" s="498" t="s">
        <v>288</v>
      </c>
      <c r="C31" s="497" t="str">
        <f>VLOOKUP($B31,DATA!$B$14:$AU$589,6,0)</f>
        <v>Tuyên Hóa</v>
      </c>
      <c r="D31" s="497" t="str">
        <f>VLOOKUP($B31,DATA!$B$14:$AU$589,36,0)</f>
        <v>Nam Hóa</v>
      </c>
      <c r="E31" s="497">
        <f>VLOOKUP($B31,DATA!$B$14:$AU$589,7,0)</f>
        <v>2017</v>
      </c>
      <c r="F31" s="497">
        <f>VLOOKUP($B31,DATA!$B$14:$AU$589,9,0)</f>
        <v>2019</v>
      </c>
      <c r="G31" s="497" t="str">
        <f>VLOOKUP($B31,DATA!$B$14:$AU$589,12,0)</f>
        <v>3482/QĐ-UBND ngày 28/10/2016</v>
      </c>
      <c r="H31" s="483">
        <f>VLOOKUP($B31,DATA!$B$14:$AU$589,13,0)</f>
        <v>3843</v>
      </c>
      <c r="I31" s="483">
        <f>VLOOKUP($B31,DATA!$B$14:$AU$589,15,0)</f>
        <v>3843</v>
      </c>
      <c r="J31" s="483">
        <f>VLOOKUP($B31,DATA!$B$14:$AU$589,26,0)</f>
        <v>2229</v>
      </c>
      <c r="K31" s="483">
        <f>VLOOKUP($B31,DATA!$B$14:$AU$589,28,0)</f>
        <v>2229</v>
      </c>
      <c r="L31" s="483">
        <f>VLOOKUP($B31,DATA!$B$14:$AU$589,29,0)</f>
        <v>3459</v>
      </c>
      <c r="M31" s="483">
        <f>VLOOKUP($B31,DATA!$B$14:$AU$589,30,0)</f>
        <v>1230</v>
      </c>
      <c r="N31" s="483">
        <f t="shared" si="2"/>
        <v>1230</v>
      </c>
      <c r="O31" s="497">
        <v>100</v>
      </c>
      <c r="P31" s="497"/>
      <c r="Q31" s="497">
        <f>VLOOKUP($B31,DATA!$B$14:$AU$589,33,0)</f>
        <v>0</v>
      </c>
    </row>
    <row r="32" spans="1:17" ht="34.5" customHeight="1">
      <c r="A32" s="484">
        <v>23</v>
      </c>
      <c r="B32" s="498" t="s">
        <v>879</v>
      </c>
      <c r="C32" s="497" t="str">
        <f>VLOOKUP($B32,DATA!$B$14:$AU$589,6,0)</f>
        <v>Quảng Ninh</v>
      </c>
      <c r="D32" s="497" t="str">
        <f>VLOOKUP($B32,DATA!$B$14:$AU$589,36,0)</f>
        <v>Vĩnh Ninh</v>
      </c>
      <c r="E32" s="497">
        <f>VLOOKUP($B32,DATA!$B$14:$AU$589,7,0)</f>
        <v>2017</v>
      </c>
      <c r="F32" s="497">
        <f>VLOOKUP($B32,DATA!$B$14:$AU$589,9,0)</f>
        <v>2019</v>
      </c>
      <c r="G32" s="497" t="str">
        <f>VLOOKUP($B32,DATA!$B$14:$AU$589,12,0)</f>
        <v>3522/QĐ-UBND ngày 31/10/2016</v>
      </c>
      <c r="H32" s="483">
        <f>VLOOKUP($B32,DATA!$B$14:$AU$589,13,0)</f>
        <v>3900</v>
      </c>
      <c r="I32" s="483">
        <f>VLOOKUP($B32,DATA!$B$14:$AU$589,15,0)</f>
        <v>3900</v>
      </c>
      <c r="J32" s="483">
        <f>VLOOKUP($B32,DATA!$B$14:$AU$589,26,0)</f>
        <v>2280</v>
      </c>
      <c r="K32" s="483">
        <f>VLOOKUP($B32,DATA!$B$14:$AU$589,28,0)</f>
        <v>2280</v>
      </c>
      <c r="L32" s="483">
        <f>VLOOKUP($B32,DATA!$B$14:$AU$589,29,0)</f>
        <v>3510</v>
      </c>
      <c r="M32" s="483">
        <f>VLOOKUP($B32,DATA!$B$14:$AU$589,30,0)</f>
        <v>1230</v>
      </c>
      <c r="N32" s="483">
        <f t="shared" si="2"/>
        <v>1230</v>
      </c>
      <c r="O32" s="497">
        <v>100</v>
      </c>
      <c r="P32" s="497"/>
      <c r="Q32" s="497">
        <f>VLOOKUP($B32,DATA!$B$14:$AU$589,33,0)</f>
        <v>0</v>
      </c>
    </row>
    <row r="33" spans="1:17" ht="34.5" customHeight="1">
      <c r="A33" s="484">
        <v>24</v>
      </c>
      <c r="B33" s="498" t="s">
        <v>309</v>
      </c>
      <c r="C33" s="497" t="str">
        <f>VLOOKUP($B33,DATA!$B$14:$AU$589,6,0)</f>
        <v>Lệ Thủy</v>
      </c>
      <c r="D33" s="497" t="str">
        <f>VLOOKUP($B33,DATA!$B$14:$AU$589,36,0)</f>
        <v>Dương Thủy</v>
      </c>
      <c r="E33" s="497">
        <f>VLOOKUP($B33,DATA!$B$14:$AU$589,7,0)</f>
        <v>2017</v>
      </c>
      <c r="F33" s="497">
        <f>VLOOKUP($B33,DATA!$B$14:$AU$589,9,0)</f>
        <v>2019</v>
      </c>
      <c r="G33" s="497" t="str">
        <f>VLOOKUP($B33,DATA!$B$14:$AU$589,12,0)</f>
        <v>3524/QĐ-UBND ngày 31/10/2016</v>
      </c>
      <c r="H33" s="483">
        <f>VLOOKUP($B33,DATA!$B$14:$AU$589,13,0)</f>
        <v>3852</v>
      </c>
      <c r="I33" s="483">
        <f>VLOOKUP($B33,DATA!$B$14:$AU$589,15,0)</f>
        <v>3852</v>
      </c>
      <c r="J33" s="483">
        <f>VLOOKUP($B33,DATA!$B$14:$AU$589,26,0)</f>
        <v>2233</v>
      </c>
      <c r="K33" s="483">
        <f>VLOOKUP($B33,DATA!$B$14:$AU$589,28,0)</f>
        <v>2233</v>
      </c>
      <c r="L33" s="483">
        <f>VLOOKUP($B33,DATA!$B$14:$AU$589,29,0)</f>
        <v>3467</v>
      </c>
      <c r="M33" s="483">
        <f>VLOOKUP($B33,DATA!$B$14:$AU$589,30,0)</f>
        <v>1234</v>
      </c>
      <c r="N33" s="483">
        <f t="shared" si="2"/>
        <v>1234</v>
      </c>
      <c r="O33" s="497">
        <v>100</v>
      </c>
      <c r="P33" s="497"/>
      <c r="Q33" s="497">
        <f>VLOOKUP($B33,DATA!$B$14:$AU$589,33,0)</f>
        <v>0</v>
      </c>
    </row>
    <row r="34" spans="1:17" ht="34.5" customHeight="1">
      <c r="A34" s="484">
        <v>25</v>
      </c>
      <c r="B34" s="498" t="s">
        <v>294</v>
      </c>
      <c r="C34" s="497" t="str">
        <f>VLOOKUP($B34,DATA!$B$14:$AU$589,6,0)</f>
        <v>Quảng Trạch</v>
      </c>
      <c r="D34" s="497" t="str">
        <f>VLOOKUP($B34,DATA!$B$14:$AU$589,36,0)</f>
        <v>Quảng Phú</v>
      </c>
      <c r="E34" s="497">
        <f>VLOOKUP($B34,DATA!$B$14:$AU$589,7,0)</f>
        <v>2017</v>
      </c>
      <c r="F34" s="497">
        <f>VLOOKUP($B34,DATA!$B$14:$AU$589,9,0)</f>
        <v>2019</v>
      </c>
      <c r="G34" s="497" t="str">
        <f>VLOOKUP($B34,DATA!$B$14:$AU$589,12,0)</f>
        <v>3474/QĐ-UBND ngày 28/10/2016</v>
      </c>
      <c r="H34" s="483">
        <f>VLOOKUP($B34,DATA!$B$14:$AU$589,13,0)</f>
        <v>3861</v>
      </c>
      <c r="I34" s="483">
        <f>VLOOKUP($B34,DATA!$B$14:$AU$589,15,0)</f>
        <v>3861</v>
      </c>
      <c r="J34" s="483">
        <f>VLOOKUP($B34,DATA!$B$14:$AU$589,26,0)</f>
        <v>2237</v>
      </c>
      <c r="K34" s="483">
        <f>VLOOKUP($B34,DATA!$B$14:$AU$589,28,0)</f>
        <v>2237</v>
      </c>
      <c r="L34" s="483">
        <f>VLOOKUP($B34,DATA!$B$14:$AU$589,29,0)</f>
        <v>3475</v>
      </c>
      <c r="M34" s="483">
        <f>VLOOKUP($B34,DATA!$B$14:$AU$589,30,0)</f>
        <v>1238</v>
      </c>
      <c r="N34" s="483">
        <f t="shared" si="2"/>
        <v>1238</v>
      </c>
      <c r="O34" s="497">
        <v>100</v>
      </c>
      <c r="P34" s="497"/>
      <c r="Q34" s="497">
        <f>VLOOKUP($B34,DATA!$B$14:$AU$589,33,0)</f>
        <v>0</v>
      </c>
    </row>
    <row r="35" spans="1:17" ht="34.5" customHeight="1">
      <c r="A35" s="484">
        <v>26</v>
      </c>
      <c r="B35" s="498" t="s">
        <v>261</v>
      </c>
      <c r="C35" s="497" t="str">
        <f>VLOOKUP($B35,DATA!$B$14:$AU$589,6,0)</f>
        <v>Lệ Thủy</v>
      </c>
      <c r="D35" s="497" t="str">
        <f>VLOOKUP($B35,DATA!$B$14:$AU$589,36,0)</f>
        <v>Lộc Thủy</v>
      </c>
      <c r="E35" s="497">
        <f>VLOOKUP($B35,DATA!$B$14:$AU$589,7,0)</f>
        <v>2017</v>
      </c>
      <c r="F35" s="497">
        <f>VLOOKUP($B35,DATA!$B$14:$AU$589,9,0)</f>
        <v>2019</v>
      </c>
      <c r="G35" s="497" t="str">
        <f>VLOOKUP($B35,DATA!$B$14:$AU$589,12,0)</f>
        <v>2584/QĐ-UBND ngày 25/8/2016</v>
      </c>
      <c r="H35" s="483">
        <f>VLOOKUP($B35,DATA!$B$14:$AU$589,13,0)</f>
        <v>3989</v>
      </c>
      <c r="I35" s="483">
        <f>VLOOKUP($B35,DATA!$B$14:$AU$589,15,0)</f>
        <v>3989</v>
      </c>
      <c r="J35" s="483">
        <f>VLOOKUP($B35,DATA!$B$14:$AU$589,26,0)</f>
        <v>2245</v>
      </c>
      <c r="K35" s="483">
        <f>VLOOKUP($B35,DATA!$B$14:$AU$589,28,0)</f>
        <v>2245</v>
      </c>
      <c r="L35" s="483">
        <f>VLOOKUP($B35,DATA!$B$14:$AU$589,29,0)</f>
        <v>3490</v>
      </c>
      <c r="M35" s="483">
        <f>VLOOKUP($B35,DATA!$B$14:$AU$589,30,0)</f>
        <v>1245</v>
      </c>
      <c r="N35" s="483">
        <f t="shared" si="2"/>
        <v>1245</v>
      </c>
      <c r="O35" s="497">
        <v>100</v>
      </c>
      <c r="P35" s="497"/>
      <c r="Q35" s="497">
        <f>VLOOKUP($B35,DATA!$B$14:$AU$589,33,0)</f>
        <v>0</v>
      </c>
    </row>
    <row r="36" spans="1:17" ht="34.5" customHeight="1">
      <c r="A36" s="484">
        <v>27</v>
      </c>
      <c r="B36" s="498" t="s">
        <v>311</v>
      </c>
      <c r="C36" s="497" t="str">
        <f>VLOOKUP($B36,DATA!$B$14:$AU$589,6,0)</f>
        <v>Lệ Thủy</v>
      </c>
      <c r="D36" s="497" t="str">
        <f>VLOOKUP($B36,DATA!$B$14:$AU$589,36,0)</f>
        <v>NT Lệ Ninh</v>
      </c>
      <c r="E36" s="497">
        <f>VLOOKUP($B36,DATA!$B$14:$AU$589,7,0)</f>
        <v>2017</v>
      </c>
      <c r="F36" s="497">
        <f>VLOOKUP($B36,DATA!$B$14:$AU$589,9,0)</f>
        <v>2019</v>
      </c>
      <c r="G36" s="497" t="str">
        <f>VLOOKUP($B36,DATA!$B$14:$AU$589,12,0)</f>
        <v>3460/QĐ-UBND ngày 28/10/2016</v>
      </c>
      <c r="H36" s="483">
        <f>VLOOKUP($B36,DATA!$B$14:$AU$589,13,0)</f>
        <v>4000</v>
      </c>
      <c r="I36" s="483">
        <f>VLOOKUP($B36,DATA!$B$14:$AU$589,15,0)</f>
        <v>4000</v>
      </c>
      <c r="J36" s="483">
        <f>VLOOKUP($B36,DATA!$B$14:$AU$589,26,0)</f>
        <v>2325</v>
      </c>
      <c r="K36" s="483">
        <f>VLOOKUP($B36,DATA!$B$14:$AU$589,28,0)</f>
        <v>2325</v>
      </c>
      <c r="L36" s="483">
        <f>VLOOKUP($B36,DATA!$B$14:$AU$589,29,0)</f>
        <v>3600</v>
      </c>
      <c r="M36" s="483">
        <f>VLOOKUP($B36,DATA!$B$14:$AU$589,30,0)</f>
        <v>1275</v>
      </c>
      <c r="N36" s="483">
        <f t="shared" si="2"/>
        <v>1275</v>
      </c>
      <c r="O36" s="497">
        <v>100</v>
      </c>
      <c r="P36" s="497"/>
      <c r="Q36" s="497">
        <f>VLOOKUP($B36,DATA!$B$14:$AU$589,33,0)</f>
        <v>0</v>
      </c>
    </row>
    <row r="37" spans="1:17" ht="34.5" customHeight="1">
      <c r="A37" s="484">
        <v>28</v>
      </c>
      <c r="B37" s="498" t="s">
        <v>305</v>
      </c>
      <c r="C37" s="497" t="str">
        <f>VLOOKUP($B37,DATA!$B$14:$AU$589,6,0)</f>
        <v>Lệ Thủy</v>
      </c>
      <c r="D37" s="497" t="str">
        <f>VLOOKUP($B37,DATA!$B$14:$AU$589,36,0)</f>
        <v>An Thủy</v>
      </c>
      <c r="E37" s="497">
        <f>VLOOKUP($B37,DATA!$B$14:$AU$589,7,0)</f>
        <v>2017</v>
      </c>
      <c r="F37" s="497">
        <f>VLOOKUP($B37,DATA!$B$14:$AU$589,9,0)</f>
        <v>2019</v>
      </c>
      <c r="G37" s="497" t="str">
        <f>VLOOKUP($B37,DATA!$B$14:$AU$589,12,0)</f>
        <v>3461/QĐ-UBND ngày 28/10/2016</v>
      </c>
      <c r="H37" s="483">
        <f>VLOOKUP($B37,DATA!$B$14:$AU$589,13,0)</f>
        <v>3946</v>
      </c>
      <c r="I37" s="483">
        <f>VLOOKUP($B37,DATA!$B$14:$AU$589,15,0)</f>
        <v>3946</v>
      </c>
      <c r="J37" s="483">
        <f>VLOOKUP($B37,DATA!$B$14:$AU$589,26,0)</f>
        <v>2275</v>
      </c>
      <c r="K37" s="483">
        <f>VLOOKUP($B37,DATA!$B$14:$AU$589,28,0)</f>
        <v>2275</v>
      </c>
      <c r="L37" s="483">
        <f>VLOOKUP($B37,DATA!$B$14:$AU$589,29,0)</f>
        <v>3551</v>
      </c>
      <c r="M37" s="483">
        <f>VLOOKUP($B37,DATA!$B$14:$AU$589,30,0)</f>
        <v>1276</v>
      </c>
      <c r="N37" s="483">
        <f t="shared" si="2"/>
        <v>1276</v>
      </c>
      <c r="O37" s="497">
        <v>100</v>
      </c>
      <c r="P37" s="497"/>
      <c r="Q37" s="497">
        <f>VLOOKUP($B37,DATA!$B$14:$AU$589,33,0)</f>
        <v>0</v>
      </c>
    </row>
    <row r="38" spans="1:17" ht="34.5" customHeight="1">
      <c r="A38" s="484">
        <v>29</v>
      </c>
      <c r="B38" s="498" t="s">
        <v>263</v>
      </c>
      <c r="C38" s="497" t="str">
        <f>VLOOKUP($B38,DATA!$B$14:$AU$589,6,0)</f>
        <v>Minh Hóa</v>
      </c>
      <c r="D38" s="497" t="str">
        <f>VLOOKUP($B38,DATA!$B$14:$AU$589,36,0)</f>
        <v>Quy Đạt</v>
      </c>
      <c r="E38" s="497">
        <f>VLOOKUP($B38,DATA!$B$14:$AU$589,7,0)</f>
        <v>2017</v>
      </c>
      <c r="F38" s="497">
        <f>VLOOKUP($B38,DATA!$B$14:$AU$589,9,0)</f>
        <v>2019</v>
      </c>
      <c r="G38" s="497" t="str">
        <f>VLOOKUP($B38,DATA!$B$14:$AU$589,12,0)</f>
        <v>3477/QĐ-UBND ngày 28/10/2016</v>
      </c>
      <c r="H38" s="483">
        <f>VLOOKUP($B38,DATA!$B$14:$AU$589,13,0)</f>
        <v>3990</v>
      </c>
      <c r="I38" s="483">
        <f>VLOOKUP($B38,DATA!$B$14:$AU$589,15,0)</f>
        <v>3990</v>
      </c>
      <c r="J38" s="483">
        <f>VLOOKUP($B38,DATA!$B$14:$AU$589,26,0)</f>
        <v>2308</v>
      </c>
      <c r="K38" s="483">
        <f>VLOOKUP($B38,DATA!$B$14:$AU$589,28,0)</f>
        <v>2308</v>
      </c>
      <c r="L38" s="483">
        <f>VLOOKUP($B38,DATA!$B$14:$AU$589,29,0)</f>
        <v>3591</v>
      </c>
      <c r="M38" s="483">
        <f>VLOOKUP($B38,DATA!$B$14:$AU$589,30,0)</f>
        <v>1283</v>
      </c>
      <c r="N38" s="483">
        <f t="shared" si="2"/>
        <v>1283</v>
      </c>
      <c r="O38" s="497">
        <v>100</v>
      </c>
      <c r="P38" s="497"/>
      <c r="Q38" s="497">
        <f>VLOOKUP($B38,DATA!$B$14:$AU$589,33,0)</f>
        <v>0</v>
      </c>
    </row>
    <row r="39" spans="1:17" ht="34.5" customHeight="1">
      <c r="A39" s="484">
        <v>30</v>
      </c>
      <c r="B39" s="498" t="s">
        <v>886</v>
      </c>
      <c r="C39" s="497" t="str">
        <f>VLOOKUP($B39,DATA!$B$14:$AU$589,6,0)</f>
        <v>Quảng Ninh</v>
      </c>
      <c r="D39" s="497" t="str">
        <f>VLOOKUP($B39,DATA!$B$14:$AU$589,36,0)</f>
        <v>Hiền Ninh</v>
      </c>
      <c r="E39" s="497">
        <f>VLOOKUP($B39,DATA!$B$14:$AU$589,7,0)</f>
        <v>2017</v>
      </c>
      <c r="F39" s="497">
        <f>VLOOKUP($B39,DATA!$B$14:$AU$589,9,0)</f>
        <v>2019</v>
      </c>
      <c r="G39" s="497" t="str">
        <f>VLOOKUP($B39,DATA!$B$14:$AU$589,12,0)</f>
        <v>3523/QĐ-UBND  ngày 31/10/2016</v>
      </c>
      <c r="H39" s="483">
        <f>VLOOKUP($B39,DATA!$B$14:$AU$589,13,0)</f>
        <v>4000</v>
      </c>
      <c r="I39" s="483">
        <f>VLOOKUP($B39,DATA!$B$14:$AU$589,15,0)</f>
        <v>4000</v>
      </c>
      <c r="J39" s="483">
        <f>VLOOKUP($B39,DATA!$B$14:$AU$589,26,0)</f>
        <v>2300</v>
      </c>
      <c r="K39" s="483">
        <f>VLOOKUP($B39,DATA!$B$14:$AU$589,28,0)</f>
        <v>2300</v>
      </c>
      <c r="L39" s="483">
        <f>VLOOKUP($B39,DATA!$B$14:$AU$589,29,0)</f>
        <v>3600</v>
      </c>
      <c r="M39" s="483">
        <f>VLOOKUP($B39,DATA!$B$14:$AU$589,30,0)</f>
        <v>1300</v>
      </c>
      <c r="N39" s="483">
        <f t="shared" si="2"/>
        <v>1300</v>
      </c>
      <c r="O39" s="497">
        <v>100</v>
      </c>
      <c r="P39" s="497"/>
      <c r="Q39" s="497">
        <f>VLOOKUP($B39,DATA!$B$14:$AU$589,33,0)</f>
        <v>0</v>
      </c>
    </row>
    <row r="40" spans="1:17" ht="34.5" customHeight="1">
      <c r="A40" s="484">
        <v>31</v>
      </c>
      <c r="B40" s="498" t="s">
        <v>282</v>
      </c>
      <c r="C40" s="497" t="str">
        <f>VLOOKUP($B40,DATA!$B$14:$AU$589,6,0)</f>
        <v>Ba Đồn</v>
      </c>
      <c r="D40" s="497" t="str">
        <f>VLOOKUP($B40,DATA!$B$14:$AU$589,36,0)</f>
        <v>Quảng Thọ</v>
      </c>
      <c r="E40" s="497">
        <f>VLOOKUP($B40,DATA!$B$14:$AU$589,7,0)</f>
        <v>2017</v>
      </c>
      <c r="F40" s="497">
        <f>VLOOKUP($B40,DATA!$B$14:$AU$589,9,0)</f>
        <v>2019</v>
      </c>
      <c r="G40" s="497" t="str">
        <f>VLOOKUP($B40,DATA!$B$14:$AU$589,12,0)</f>
        <v>3472/QĐ-UBND ngày 28/10/2016</v>
      </c>
      <c r="H40" s="483">
        <f>VLOOKUP($B40,DATA!$B$14:$AU$589,13,0)</f>
        <v>4130.6000000000004</v>
      </c>
      <c r="I40" s="483">
        <f>VLOOKUP($B40,DATA!$B$14:$AU$589,15,0)</f>
        <v>4130.6000000000004</v>
      </c>
      <c r="J40" s="483">
        <f>VLOOKUP($B40,DATA!$B$14:$AU$589,26,0)</f>
        <v>2409</v>
      </c>
      <c r="K40" s="483">
        <f>VLOOKUP($B40,DATA!$B$14:$AU$589,28,0)</f>
        <v>2409</v>
      </c>
      <c r="L40" s="483">
        <f>VLOOKUP($B40,DATA!$B$14:$AU$589,29,0)</f>
        <v>3718</v>
      </c>
      <c r="M40" s="483">
        <f>VLOOKUP($B40,DATA!$B$14:$AU$589,30,0)</f>
        <v>1309</v>
      </c>
      <c r="N40" s="483">
        <f t="shared" si="2"/>
        <v>1309</v>
      </c>
      <c r="O40" s="497">
        <v>100</v>
      </c>
      <c r="P40" s="497"/>
      <c r="Q40" s="497">
        <f>VLOOKUP($B40,DATA!$B$14:$AU$589,33,0)</f>
        <v>0</v>
      </c>
    </row>
    <row r="41" spans="1:17" ht="34.5" customHeight="1">
      <c r="A41" s="484">
        <v>32</v>
      </c>
      <c r="B41" s="498" t="s">
        <v>290</v>
      </c>
      <c r="C41" s="497" t="str">
        <f>VLOOKUP($B41,DATA!$B$14:$AU$589,6,0)</f>
        <v>Quảng Trạch</v>
      </c>
      <c r="D41" s="497" t="str">
        <f>VLOOKUP($B41,DATA!$B$14:$AU$589,36,0)</f>
        <v>Cảnh Dương</v>
      </c>
      <c r="E41" s="497">
        <f>VLOOKUP($B41,DATA!$B$14:$AU$589,7,0)</f>
        <v>2017</v>
      </c>
      <c r="F41" s="497">
        <f>VLOOKUP($B41,DATA!$B$14:$AU$589,9,0)</f>
        <v>2019</v>
      </c>
      <c r="G41" s="497" t="str">
        <f>VLOOKUP($B41,DATA!$B$14:$AU$589,12,0)</f>
        <v>3484/QĐ-UBND ngày 28/10/2016</v>
      </c>
      <c r="H41" s="483">
        <f>VLOOKUP($B41,DATA!$B$14:$AU$589,13,0)</f>
        <v>4077</v>
      </c>
      <c r="I41" s="483">
        <f>VLOOKUP($B41,DATA!$B$14:$AU$589,15,0)</f>
        <v>4077</v>
      </c>
      <c r="J41" s="483">
        <f>VLOOKUP($B41,DATA!$B$14:$AU$589,26,0)</f>
        <v>2334</v>
      </c>
      <c r="K41" s="483">
        <f>VLOOKUP($B41,DATA!$B$14:$AU$589,28,0)</f>
        <v>2334</v>
      </c>
      <c r="L41" s="483">
        <f>VLOOKUP($B41,DATA!$B$14:$AU$589,29,0)</f>
        <v>3669</v>
      </c>
      <c r="M41" s="483">
        <f>VLOOKUP($B41,DATA!$B$14:$AU$589,30,0)</f>
        <v>1335</v>
      </c>
      <c r="N41" s="483">
        <f t="shared" si="2"/>
        <v>1335</v>
      </c>
      <c r="O41" s="497">
        <v>100</v>
      </c>
      <c r="P41" s="497"/>
      <c r="Q41" s="497">
        <f>VLOOKUP($B41,DATA!$B$14:$AU$589,33,0)</f>
        <v>0</v>
      </c>
    </row>
    <row r="42" spans="1:17" ht="34.5" customHeight="1">
      <c r="A42" s="484">
        <v>33</v>
      </c>
      <c r="B42" s="498" t="s">
        <v>277</v>
      </c>
      <c r="C42" s="497" t="str">
        <f>VLOOKUP($B42,DATA!$B$14:$AU$589,6,0)</f>
        <v>Đồng Hới</v>
      </c>
      <c r="D42" s="497" t="str">
        <f>VLOOKUP($B42,DATA!$B$14:$AU$589,36,0)</f>
        <v>Đức Ninh</v>
      </c>
      <c r="E42" s="497">
        <f>VLOOKUP($B42,DATA!$B$14:$AU$589,7,0)</f>
        <v>2017</v>
      </c>
      <c r="F42" s="497">
        <f>VLOOKUP($B42,DATA!$B$14:$AU$589,9,0)</f>
        <v>2019</v>
      </c>
      <c r="G42" s="497" t="str">
        <f>VLOOKUP($B42,DATA!$B$14:$AU$589,12,0)</f>
        <v>3467/QĐ-UBND ngày 28/10/2016</v>
      </c>
      <c r="H42" s="483">
        <f>VLOOKUP($B42,DATA!$B$14:$AU$589,13,0)</f>
        <v>4513</v>
      </c>
      <c r="I42" s="483">
        <f>VLOOKUP($B42,DATA!$B$14:$AU$589,15,0)</f>
        <v>4513</v>
      </c>
      <c r="J42" s="483">
        <f>VLOOKUP($B42,DATA!$B$14:$AU$589,26,0)</f>
        <v>2706</v>
      </c>
      <c r="K42" s="483">
        <f>VLOOKUP($B42,DATA!$B$14:$AU$589,28,0)</f>
        <v>2706</v>
      </c>
      <c r="L42" s="483">
        <f>VLOOKUP($B42,DATA!$B$14:$AU$589,29,0)</f>
        <v>4062</v>
      </c>
      <c r="M42" s="483">
        <f>VLOOKUP($B42,DATA!$B$14:$AU$589,30,0)</f>
        <v>1356</v>
      </c>
      <c r="N42" s="483">
        <f t="shared" ref="N42:N73" si="3">M42*O42/100</f>
        <v>1356</v>
      </c>
      <c r="O42" s="497">
        <v>100</v>
      </c>
      <c r="P42" s="497"/>
      <c r="Q42" s="497">
        <f>VLOOKUP($B42,DATA!$B$14:$AU$589,33,0)</f>
        <v>0</v>
      </c>
    </row>
    <row r="43" spans="1:17" ht="34.5" customHeight="1">
      <c r="A43" s="484">
        <v>34</v>
      </c>
      <c r="B43" s="490" t="s">
        <v>233</v>
      </c>
      <c r="C43" s="497" t="str">
        <f>VLOOKUP($B43,DATA!$B$14:$AU$589,6,0)</f>
        <v>Lệ Thủy</v>
      </c>
      <c r="D43" s="497" t="str">
        <f>VLOOKUP($B43,DATA!$B$14:$AU$589,36,0)</f>
        <v>Văn Thủy</v>
      </c>
      <c r="E43" s="497">
        <f>VLOOKUP($B43,DATA!$B$14:$AU$589,7,0)</f>
        <v>2017</v>
      </c>
      <c r="F43" s="497">
        <f>VLOOKUP($B43,DATA!$B$14:$AU$589,9,0)</f>
        <v>2019</v>
      </c>
      <c r="G43" s="497" t="str">
        <f>VLOOKUP($B43,DATA!$B$14:$AU$589,12,0)</f>
        <v>3458/QĐ-UBND ngày 28/10/2016</v>
      </c>
      <c r="H43" s="483">
        <f>VLOOKUP($B43,DATA!$B$14:$AU$589,13,0)</f>
        <v>4556</v>
      </c>
      <c r="I43" s="483">
        <f>VLOOKUP($B43,DATA!$B$14:$AU$589,15,0)</f>
        <v>4556</v>
      </c>
      <c r="J43" s="483">
        <f>VLOOKUP($B43,DATA!$B$14:$AU$589,26,0)</f>
        <v>2572</v>
      </c>
      <c r="K43" s="483">
        <f>VLOOKUP($B43,DATA!$B$14:$AU$589,28,0)</f>
        <v>2572</v>
      </c>
      <c r="L43" s="483">
        <f>VLOOKUP($B43,DATA!$B$14:$AU$589,29,0)</f>
        <v>4025</v>
      </c>
      <c r="M43" s="483">
        <f>VLOOKUP($B43,DATA!$B$14:$AU$589,30,0)</f>
        <v>1453</v>
      </c>
      <c r="N43" s="483">
        <f t="shared" si="3"/>
        <v>1453</v>
      </c>
      <c r="O43" s="497">
        <v>100</v>
      </c>
      <c r="P43" s="497"/>
      <c r="Q43" s="497">
        <f>VLOOKUP($B43,DATA!$B$14:$AU$589,33,0)</f>
        <v>0</v>
      </c>
    </row>
    <row r="44" spans="1:17" ht="34.5" customHeight="1">
      <c r="A44" s="484">
        <v>35</v>
      </c>
      <c r="B44" s="498" t="s">
        <v>267</v>
      </c>
      <c r="C44" s="497" t="str">
        <f>VLOOKUP($B44,DATA!$B$14:$AU$589,6,0)</f>
        <v>Tuyên Hóa</v>
      </c>
      <c r="D44" s="497" t="str">
        <f>VLOOKUP($B44,DATA!$B$14:$AU$589,36,0)</f>
        <v>Đồng Hóa</v>
      </c>
      <c r="E44" s="497">
        <f>VLOOKUP($B44,DATA!$B$14:$AU$589,7,0)</f>
        <v>2017</v>
      </c>
      <c r="F44" s="497">
        <f>VLOOKUP($B44,DATA!$B$14:$AU$589,9,0)</f>
        <v>2019</v>
      </c>
      <c r="G44" s="497" t="str">
        <f>VLOOKUP($B44,DATA!$B$14:$AU$589,12,0)</f>
        <v>3309/QĐ-UBND ngày 24/10/2016</v>
      </c>
      <c r="H44" s="483">
        <f>VLOOKUP($B44,DATA!$B$14:$AU$589,13,0)</f>
        <v>4588</v>
      </c>
      <c r="I44" s="483">
        <f>VLOOKUP($B44,DATA!$B$14:$AU$589,15,0)</f>
        <v>4588</v>
      </c>
      <c r="J44" s="483">
        <f>VLOOKUP($B44,DATA!$B$14:$AU$589,26,0)</f>
        <v>2664</v>
      </c>
      <c r="K44" s="483">
        <f>VLOOKUP($B44,DATA!$B$14:$AU$589,28,0)</f>
        <v>2664</v>
      </c>
      <c r="L44" s="483">
        <f>VLOOKUP($B44,DATA!$B$14:$AU$589,29,0)</f>
        <v>4129</v>
      </c>
      <c r="M44" s="483">
        <f>VLOOKUP($B44,DATA!$B$14:$AU$589,30,0)</f>
        <v>1465</v>
      </c>
      <c r="N44" s="483">
        <f t="shared" si="3"/>
        <v>1465</v>
      </c>
      <c r="O44" s="497">
        <v>100</v>
      </c>
      <c r="P44" s="497"/>
      <c r="Q44" s="497">
        <f>VLOOKUP($B44,DATA!$B$14:$AU$589,33,0)</f>
        <v>0</v>
      </c>
    </row>
    <row r="45" spans="1:17" ht="34.5" customHeight="1">
      <c r="A45" s="484">
        <v>36</v>
      </c>
      <c r="B45" s="498" t="s">
        <v>292</v>
      </c>
      <c r="C45" s="497" t="str">
        <f>VLOOKUP($B45,DATA!$B$14:$AU$589,6,0)</f>
        <v>Quảng Trạch</v>
      </c>
      <c r="D45" s="497" t="str">
        <f>VLOOKUP($B45,DATA!$B$14:$AU$589,36,0)</f>
        <v>Quảng Lưu</v>
      </c>
      <c r="E45" s="497">
        <f>VLOOKUP($B45,DATA!$B$14:$AU$589,7,0)</f>
        <v>2017</v>
      </c>
      <c r="F45" s="497">
        <f>VLOOKUP($B45,DATA!$B$14:$AU$589,9,0)</f>
        <v>2019</v>
      </c>
      <c r="G45" s="497" t="str">
        <f>VLOOKUP($B45,DATA!$B$14:$AU$589,12,0)</f>
        <v>3475/QĐ-UBND ngày 28/10/2016</v>
      </c>
      <c r="H45" s="483">
        <f>VLOOKUP($B45,DATA!$B$14:$AU$589,13,0)</f>
        <v>4500</v>
      </c>
      <c r="I45" s="483">
        <f>VLOOKUP($B45,DATA!$B$14:$AU$589,15,0)</f>
        <v>4500</v>
      </c>
      <c r="J45" s="483">
        <f>VLOOKUP($B45,DATA!$B$14:$AU$589,26,0)</f>
        <v>2575</v>
      </c>
      <c r="K45" s="483">
        <f>VLOOKUP($B45,DATA!$B$14:$AU$589,28,0)</f>
        <v>2575</v>
      </c>
      <c r="L45" s="483">
        <f>VLOOKUP($B45,DATA!$B$14:$AU$589,29,0)</f>
        <v>4050</v>
      </c>
      <c r="M45" s="483">
        <f>VLOOKUP($B45,DATA!$B$14:$AU$589,30,0)</f>
        <v>1475</v>
      </c>
      <c r="N45" s="483">
        <f t="shared" si="3"/>
        <v>1475</v>
      </c>
      <c r="O45" s="497">
        <v>100</v>
      </c>
      <c r="P45" s="497"/>
      <c r="Q45" s="497">
        <f>VLOOKUP($B45,DATA!$B$14:$AU$589,33,0)</f>
        <v>0</v>
      </c>
    </row>
    <row r="46" spans="1:17" s="662" customFormat="1" ht="34.5" customHeight="1">
      <c r="A46" s="484">
        <v>37</v>
      </c>
      <c r="B46" s="498" t="s">
        <v>273</v>
      </c>
      <c r="C46" s="497" t="str">
        <f>VLOOKUP($B46,DATA!$B$14:$AU$589,6,0)</f>
        <v>Ba Đồn</v>
      </c>
      <c r="D46" s="497" t="str">
        <f>VLOOKUP($B46,DATA!$B$14:$AU$589,36,0)</f>
        <v>Ba Đồn</v>
      </c>
      <c r="E46" s="497">
        <f>VLOOKUP($B46,DATA!$B$14:$AU$589,7,0)</f>
        <v>2017</v>
      </c>
      <c r="F46" s="497">
        <f>VLOOKUP($B46,DATA!$B$14:$AU$589,9,0)</f>
        <v>2019</v>
      </c>
      <c r="G46" s="497" t="str">
        <f>VLOOKUP($B46,DATA!$B$14:$AU$589,12,0)</f>
        <v>3366/QĐ-UBND ngày 26/10/2016</v>
      </c>
      <c r="H46" s="483">
        <f>VLOOKUP($B46,DATA!$B$14:$AU$589,13,0)</f>
        <v>4954</v>
      </c>
      <c r="I46" s="483">
        <f>VLOOKUP($B46,DATA!$B$14:$AU$589,15,0)</f>
        <v>4954</v>
      </c>
      <c r="J46" s="483">
        <f>VLOOKUP($B46,DATA!$B$14:$AU$589,26,0)</f>
        <v>2954</v>
      </c>
      <c r="K46" s="483">
        <f>VLOOKUP($B46,DATA!$B$14:$AU$589,28,0)</f>
        <v>2954</v>
      </c>
      <c r="L46" s="483">
        <f>VLOOKUP($B46,DATA!$B$14:$AU$589,29,0)</f>
        <v>4459</v>
      </c>
      <c r="M46" s="483">
        <f>VLOOKUP($B46,DATA!$B$14:$AU$589,30,0)</f>
        <v>1505</v>
      </c>
      <c r="N46" s="483">
        <f t="shared" si="3"/>
        <v>1505</v>
      </c>
      <c r="O46" s="497">
        <v>100</v>
      </c>
      <c r="P46" s="497"/>
      <c r="Q46" s="497">
        <f>VLOOKUP($B46,DATA!$B$14:$AU$589,33,0)</f>
        <v>0</v>
      </c>
    </row>
    <row r="47" spans="1:17" ht="34.5" customHeight="1">
      <c r="A47" s="484">
        <v>38</v>
      </c>
      <c r="B47" s="498" t="s">
        <v>303</v>
      </c>
      <c r="C47" s="497" t="str">
        <f>VLOOKUP($B47,DATA!$B$14:$AU$589,6,0)</f>
        <v>Lệ Thủy</v>
      </c>
      <c r="D47" s="497" t="str">
        <f>VLOOKUP($B47,DATA!$B$14:$AU$589,36,0)</f>
        <v>Sơn Thủy</v>
      </c>
      <c r="E47" s="497">
        <f>VLOOKUP($B47,DATA!$B$14:$AU$589,7,0)</f>
        <v>2017</v>
      </c>
      <c r="F47" s="497">
        <f>VLOOKUP($B47,DATA!$B$14:$AU$589,9,0)</f>
        <v>2019</v>
      </c>
      <c r="G47" s="497" t="str">
        <f>VLOOKUP($B47,DATA!$B$14:$AU$589,12,0)</f>
        <v>3456/QĐ-UBND ngày 28/10/2016</v>
      </c>
      <c r="H47" s="483">
        <f>VLOOKUP($B47,DATA!$B$14:$AU$589,13,0)</f>
        <v>4795</v>
      </c>
      <c r="I47" s="483">
        <f>VLOOKUP($B47,DATA!$B$14:$AU$589,15,0)</f>
        <v>4795</v>
      </c>
      <c r="J47" s="483">
        <f>VLOOKUP($B47,DATA!$B$14:$AU$589,26,0)</f>
        <v>2783</v>
      </c>
      <c r="K47" s="483">
        <f>VLOOKUP($B47,DATA!$B$14:$AU$589,28,0)</f>
        <v>2783</v>
      </c>
      <c r="L47" s="483">
        <f>VLOOKUP($B47,DATA!$B$14:$AU$589,29,0)</f>
        <v>4316</v>
      </c>
      <c r="M47" s="483">
        <f>VLOOKUP($B47,DATA!$B$14:$AU$589,30,0)</f>
        <v>1533</v>
      </c>
      <c r="N47" s="483">
        <f t="shared" si="3"/>
        <v>1533</v>
      </c>
      <c r="O47" s="497">
        <v>100</v>
      </c>
      <c r="P47" s="497"/>
      <c r="Q47" s="497">
        <f>VLOOKUP($B47,DATA!$B$14:$AU$589,33,0)</f>
        <v>0</v>
      </c>
    </row>
    <row r="48" spans="1:17" ht="34.5" customHeight="1">
      <c r="A48" s="484">
        <v>39</v>
      </c>
      <c r="B48" s="490" t="s">
        <v>245</v>
      </c>
      <c r="C48" s="497" t="str">
        <f>VLOOKUP($B48,DATA!$B$14:$AU$589,6,0)</f>
        <v>Lệ Thủy</v>
      </c>
      <c r="D48" s="497" t="str">
        <f>VLOOKUP($B48,DATA!$B$14:$AU$589,36,0)</f>
        <v>Mai Thủy</v>
      </c>
      <c r="E48" s="497">
        <f>VLOOKUP($B48,DATA!$B$14:$AU$589,7,0)</f>
        <v>2017</v>
      </c>
      <c r="F48" s="497">
        <f>VLOOKUP($B48,DATA!$B$14:$AU$589,9,0)</f>
        <v>2019</v>
      </c>
      <c r="G48" s="497" t="str">
        <f>VLOOKUP($B48,DATA!$B$14:$AU$589,12,0)</f>
        <v>3457/QĐ-UBND ngày 28/10/2016</v>
      </c>
      <c r="H48" s="483">
        <f>VLOOKUP($B48,DATA!$B$14:$AU$589,13,0)</f>
        <v>5000</v>
      </c>
      <c r="I48" s="483">
        <f>VLOOKUP($B48,DATA!$B$14:$AU$589,15,0)</f>
        <v>5000</v>
      </c>
      <c r="J48" s="483">
        <f>VLOOKUP($B48,DATA!$B$14:$AU$589,26,0)</f>
        <v>2935</v>
      </c>
      <c r="K48" s="483">
        <f>VLOOKUP($B48,DATA!$B$14:$AU$589,28,0)</f>
        <v>2935</v>
      </c>
      <c r="L48" s="483">
        <f>VLOOKUP($B48,DATA!$B$14:$AU$589,29,0)</f>
        <v>4330</v>
      </c>
      <c r="M48" s="483">
        <f>VLOOKUP($B48,DATA!$B$14:$AU$589,30,0)</f>
        <v>1565</v>
      </c>
      <c r="N48" s="483">
        <f t="shared" si="3"/>
        <v>1565</v>
      </c>
      <c r="O48" s="497">
        <v>100</v>
      </c>
      <c r="P48" s="497"/>
      <c r="Q48" s="497" t="str">
        <f>VLOOKUP($B48,DATA!$B$14:$AU$589,33,0)</f>
        <v>Cập nhật số vốn bố trí</v>
      </c>
    </row>
    <row r="49" spans="1:17" ht="34.5" customHeight="1">
      <c r="A49" s="484">
        <v>40</v>
      </c>
      <c r="B49" s="498" t="s">
        <v>269</v>
      </c>
      <c r="C49" s="497" t="str">
        <f>VLOOKUP($B49,DATA!$B$14:$AU$589,6,0)</f>
        <v>Ba Đồn</v>
      </c>
      <c r="D49" s="497" t="str">
        <f>VLOOKUP($B49,DATA!$B$14:$AU$589,36,0)</f>
        <v>Ba Đồn</v>
      </c>
      <c r="E49" s="497">
        <f>VLOOKUP($B49,DATA!$B$14:$AU$589,7,0)</f>
        <v>2017</v>
      </c>
      <c r="F49" s="497">
        <f>VLOOKUP($B49,DATA!$B$14:$AU$589,9,0)</f>
        <v>2019</v>
      </c>
      <c r="G49" s="497" t="str">
        <f>VLOOKUP($B49,DATA!$B$14:$AU$589,12,0)</f>
        <v>3311/QĐ-UBND ngày 24/10/2016</v>
      </c>
      <c r="H49" s="483">
        <f>VLOOKUP($B49,DATA!$B$14:$AU$589,13,0)</f>
        <v>5289</v>
      </c>
      <c r="I49" s="483">
        <f>VLOOKUP($B49,DATA!$B$14:$AU$589,15,0)</f>
        <v>5289</v>
      </c>
      <c r="J49" s="483">
        <f>VLOOKUP($B49,DATA!$B$14:$AU$589,26,0)</f>
        <v>3115</v>
      </c>
      <c r="K49" s="483">
        <f>VLOOKUP($B49,DATA!$B$14:$AU$589,28,0)</f>
        <v>3115</v>
      </c>
      <c r="L49" s="483">
        <f>VLOOKUP($B49,DATA!$B$14:$AU$589,29,0)</f>
        <v>4640</v>
      </c>
      <c r="M49" s="483">
        <f>VLOOKUP($B49,DATA!$B$14:$AU$589,30,0)</f>
        <v>1645</v>
      </c>
      <c r="N49" s="483">
        <f t="shared" si="3"/>
        <v>1645</v>
      </c>
      <c r="O49" s="497">
        <v>100</v>
      </c>
      <c r="P49" s="497"/>
      <c r="Q49" s="497">
        <f>VLOOKUP($B49,DATA!$B$14:$AU$589,33,0)</f>
        <v>0</v>
      </c>
    </row>
    <row r="50" spans="1:17" ht="34.5" customHeight="1">
      <c r="A50" s="484">
        <v>41</v>
      </c>
      <c r="B50" s="498" t="s">
        <v>271</v>
      </c>
      <c r="C50" s="497" t="str">
        <f>VLOOKUP($B50,DATA!$B$14:$AU$589,6,0)</f>
        <v>Minh Hóa</v>
      </c>
      <c r="D50" s="497" t="str">
        <f>VLOOKUP($B50,DATA!$B$14:$AU$589,36,0)</f>
        <v>Hóa Tiến</v>
      </c>
      <c r="E50" s="497">
        <f>VLOOKUP($B50,DATA!$B$14:$AU$589,7,0)</f>
        <v>2017</v>
      </c>
      <c r="F50" s="497">
        <f>VLOOKUP($B50,DATA!$B$14:$AU$589,9,0)</f>
        <v>2019</v>
      </c>
      <c r="G50" s="497" t="str">
        <f>VLOOKUP($B50,DATA!$B$14:$AU$589,12,0)</f>
        <v>3345/QĐ-UBND ngày 25/10/2016</v>
      </c>
      <c r="H50" s="483">
        <f>VLOOKUP($B50,DATA!$B$14:$AU$589,13,0)</f>
        <v>5291</v>
      </c>
      <c r="I50" s="483">
        <f>VLOOKUP($B50,DATA!$B$14:$AU$589,15,0)</f>
        <v>5291</v>
      </c>
      <c r="J50" s="483">
        <f>VLOOKUP($B50,DATA!$B$14:$AU$589,26,0)</f>
        <v>2996</v>
      </c>
      <c r="K50" s="483">
        <f>VLOOKUP($B50,DATA!$B$14:$AU$589,28,0)</f>
        <v>2996</v>
      </c>
      <c r="L50" s="483">
        <f>VLOOKUP($B50,DATA!$B$14:$AU$589,29,0)</f>
        <v>4642</v>
      </c>
      <c r="M50" s="483">
        <f>VLOOKUP($B50,DATA!$B$14:$AU$589,30,0)</f>
        <v>1646</v>
      </c>
      <c r="N50" s="483">
        <f t="shared" si="3"/>
        <v>1646</v>
      </c>
      <c r="O50" s="497">
        <v>100</v>
      </c>
      <c r="P50" s="497"/>
      <c r="Q50" s="497">
        <f>VLOOKUP($B50,DATA!$B$14:$AU$589,33,0)</f>
        <v>0</v>
      </c>
    </row>
    <row r="51" spans="1:17" ht="34.5" customHeight="1">
      <c r="A51" s="484">
        <v>42</v>
      </c>
      <c r="B51" s="498" t="s">
        <v>894</v>
      </c>
      <c r="C51" s="497" t="str">
        <f>VLOOKUP($B51,DATA!$B$14:$AU$589,6,0)</f>
        <v>Quảng Ninh</v>
      </c>
      <c r="D51" s="497" t="str">
        <f>VLOOKUP($B51,DATA!$B$14:$AU$589,36,0)</f>
        <v>Gia Ninh</v>
      </c>
      <c r="E51" s="497">
        <f>VLOOKUP($B51,DATA!$B$14:$AU$589,7,0)</f>
        <v>2017</v>
      </c>
      <c r="F51" s="497">
        <f>VLOOKUP($B51,DATA!$B$14:$AU$589,9,0)</f>
        <v>2019</v>
      </c>
      <c r="G51" s="497" t="str">
        <f>VLOOKUP($B51,DATA!$B$14:$AU$589,12,0)</f>
        <v>3316/QĐ-UBND ngày 25/10/2016</v>
      </c>
      <c r="H51" s="483">
        <f>VLOOKUP($B51,DATA!$B$14:$AU$589,13,0)</f>
        <v>5286</v>
      </c>
      <c r="I51" s="483">
        <f>VLOOKUP($B51,DATA!$B$14:$AU$589,15,0)</f>
        <v>5286</v>
      </c>
      <c r="J51" s="483">
        <f>VLOOKUP($B51,DATA!$B$14:$AU$589,26,0)</f>
        <v>3078</v>
      </c>
      <c r="K51" s="483">
        <f>VLOOKUP($B51,DATA!$B$14:$AU$589,28,0)</f>
        <v>3078</v>
      </c>
      <c r="L51" s="483">
        <f>VLOOKUP($B51,DATA!$B$14:$AU$589,29,0)</f>
        <v>4757</v>
      </c>
      <c r="M51" s="483">
        <f>VLOOKUP($B51,DATA!$B$14:$AU$589,30,0)</f>
        <v>1679</v>
      </c>
      <c r="N51" s="483">
        <f t="shared" si="3"/>
        <v>1679</v>
      </c>
      <c r="O51" s="497">
        <v>100</v>
      </c>
      <c r="P51" s="497"/>
      <c r="Q51" s="497">
        <f>VLOOKUP($B51,DATA!$B$14:$AU$589,33,0)</f>
        <v>0</v>
      </c>
    </row>
    <row r="52" spans="1:17" ht="34.5" customHeight="1">
      <c r="A52" s="484">
        <v>43</v>
      </c>
      <c r="B52" s="498" t="s">
        <v>313</v>
      </c>
      <c r="C52" s="497" t="str">
        <f>VLOOKUP($B52,DATA!$B$14:$AU$589,6,0)</f>
        <v>Đồng Hới</v>
      </c>
      <c r="D52" s="497" t="str">
        <f>VLOOKUP($B52,DATA!$B$14:$AU$589,36,0)</f>
        <v>Đồng Sơn</v>
      </c>
      <c r="E52" s="497">
        <f>VLOOKUP($B52,DATA!$B$14:$AU$589,7,0)</f>
        <v>2017</v>
      </c>
      <c r="F52" s="497">
        <f>VLOOKUP($B52,DATA!$B$14:$AU$589,9,0)</f>
        <v>2019</v>
      </c>
      <c r="G52" s="497" t="str">
        <f>VLOOKUP($B52,DATA!$B$14:$AU$589,12,0)</f>
        <v>3491/QĐ-UBND ngày 28/10/2016</v>
      </c>
      <c r="H52" s="483">
        <f>VLOOKUP($B52,DATA!$B$14:$AU$589,13,0)</f>
        <v>11424</v>
      </c>
      <c r="I52" s="483">
        <f>VLOOKUP($B52,DATA!$B$14:$AU$589,15,0)</f>
        <v>11424</v>
      </c>
      <c r="J52" s="483">
        <f>VLOOKUP($B52,DATA!$B$14:$AU$589,26,0)</f>
        <v>6641</v>
      </c>
      <c r="K52" s="483">
        <f>VLOOKUP($B52,DATA!$B$14:$AU$589,28,0)</f>
        <v>6641</v>
      </c>
      <c r="L52" s="483">
        <f>VLOOKUP($B52,DATA!$B$14:$AU$589,29,0)</f>
        <v>10282</v>
      </c>
      <c r="M52" s="483">
        <f>VLOOKUP($B52,DATA!$B$14:$AU$589,30,0)</f>
        <v>3641</v>
      </c>
      <c r="N52" s="483">
        <f t="shared" si="3"/>
        <v>3641</v>
      </c>
      <c r="O52" s="497">
        <v>100</v>
      </c>
      <c r="P52" s="497"/>
      <c r="Q52" s="497">
        <f>VLOOKUP($B52,DATA!$B$14:$AU$589,33,0)</f>
        <v>0</v>
      </c>
    </row>
    <row r="53" spans="1:17" ht="34.5" customHeight="1">
      <c r="A53" s="484">
        <v>44</v>
      </c>
      <c r="B53" s="498" t="s">
        <v>325</v>
      </c>
      <c r="C53" s="497" t="str">
        <f>VLOOKUP($B53,DATA!$B$14:$AU$589,6,0)</f>
        <v>Bố Trạch</v>
      </c>
      <c r="D53" s="497" t="str">
        <f>VLOOKUP($B53,DATA!$B$14:$AU$589,36,0)</f>
        <v>Cự Nẫm</v>
      </c>
      <c r="E53" s="497">
        <f>VLOOKUP($B53,DATA!$B$14:$AU$589,7,0)</f>
        <v>2018</v>
      </c>
      <c r="F53" s="497">
        <f>VLOOKUP($B53,DATA!$B$14:$AU$589,9,0)</f>
        <v>2020</v>
      </c>
      <c r="G53" s="497" t="str">
        <f>VLOOKUP($B53,DATA!$B$14:$AU$589,12,0)</f>
        <v>3859/QĐ-UBND ngày 30/10/2017</v>
      </c>
      <c r="H53" s="483">
        <f>VLOOKUP($B53,DATA!$B$14:$AU$589,13,0)</f>
        <v>4000</v>
      </c>
      <c r="I53" s="483">
        <f>VLOOKUP($B53,DATA!$B$14:$AU$589,15,0)</f>
        <v>2400</v>
      </c>
      <c r="J53" s="483">
        <f>VLOOKUP($B53,DATA!$B$14:$AU$589,26,0)</f>
        <v>1200</v>
      </c>
      <c r="K53" s="483">
        <f>VLOOKUP($B53,DATA!$B$14:$AU$589,28,0)</f>
        <v>1200</v>
      </c>
      <c r="L53" s="483">
        <f>VLOOKUP($B53,DATA!$B$14:$AU$589,29,0)</f>
        <v>2400</v>
      </c>
      <c r="M53" s="483">
        <f>VLOOKUP($B53,DATA!$B$14:$AU$589,30,0)</f>
        <v>1200</v>
      </c>
      <c r="N53" s="483">
        <f t="shared" si="3"/>
        <v>1200</v>
      </c>
      <c r="O53" s="497">
        <v>100</v>
      </c>
      <c r="P53" s="497"/>
      <c r="Q53" s="497">
        <f>VLOOKUP($B53,DATA!$B$14:$AU$589,33,0)</f>
        <v>0</v>
      </c>
    </row>
    <row r="54" spans="1:17" ht="34.5" customHeight="1">
      <c r="A54" s="484">
        <v>45</v>
      </c>
      <c r="B54" s="498" t="s">
        <v>333</v>
      </c>
      <c r="C54" s="497" t="str">
        <f>VLOOKUP($B54,DATA!$B$14:$AU$589,6,0)</f>
        <v>Ba Đồn</v>
      </c>
      <c r="D54" s="497" t="str">
        <f>VLOOKUP($B54,DATA!$B$14:$AU$589,36,0)</f>
        <v>Quảng Lộc</v>
      </c>
      <c r="E54" s="497">
        <f>VLOOKUP($B54,DATA!$B$14:$AU$589,7,0)</f>
        <v>2018</v>
      </c>
      <c r="F54" s="497">
        <f>VLOOKUP($B54,DATA!$B$14:$AU$589,9,0)</f>
        <v>2020</v>
      </c>
      <c r="G54" s="497" t="str">
        <f>VLOOKUP($B54,DATA!$B$14:$AU$589,12,0)</f>
        <v>3646/QĐ-UBND ngày 16/10/2017</v>
      </c>
      <c r="H54" s="483">
        <f>VLOOKUP($B54,DATA!$B$14:$AU$589,13,0)</f>
        <v>2981</v>
      </c>
      <c r="I54" s="483">
        <f>VLOOKUP($B54,DATA!$B$14:$AU$589,15,0)</f>
        <v>2981</v>
      </c>
      <c r="J54" s="483">
        <f>VLOOKUP($B54,DATA!$B$14:$AU$589,26,0)</f>
        <v>838</v>
      </c>
      <c r="K54" s="483">
        <f>VLOOKUP($B54,DATA!$B$14:$AU$589,28,0)</f>
        <v>838</v>
      </c>
      <c r="L54" s="483">
        <f>VLOOKUP($B54,DATA!$B$14:$AU$589,29,0)</f>
        <v>2700</v>
      </c>
      <c r="M54" s="483">
        <f>VLOOKUP($B54,DATA!$B$14:$AU$589,30,0)</f>
        <v>1862</v>
      </c>
      <c r="N54" s="483">
        <f t="shared" si="3"/>
        <v>1862</v>
      </c>
      <c r="O54" s="497">
        <v>100</v>
      </c>
      <c r="P54" s="497"/>
      <c r="Q54" s="497" t="str">
        <f>VLOOKUP($B54,DATA!$B$14:$AU$589,33,0)</f>
        <v>Cập nhật KH 2018-2020, trừ CBĐT</v>
      </c>
    </row>
    <row r="55" spans="1:17" ht="34.5" customHeight="1">
      <c r="A55" s="484">
        <v>46</v>
      </c>
      <c r="B55" s="498" t="s">
        <v>339</v>
      </c>
      <c r="C55" s="497" t="str">
        <f>VLOOKUP($B55,DATA!$B$14:$AU$589,6,0)</f>
        <v>Ba Đồn</v>
      </c>
      <c r="D55" s="497" t="str">
        <f>VLOOKUP($B55,DATA!$B$14:$AU$589,36,0)</f>
        <v>Quảng Thuận</v>
      </c>
      <c r="E55" s="497">
        <f>VLOOKUP($B55,DATA!$B$14:$AU$589,7,0)</f>
        <v>2018</v>
      </c>
      <c r="F55" s="497">
        <f>VLOOKUP($B55,DATA!$B$14:$AU$589,9,0)</f>
        <v>2020</v>
      </c>
      <c r="G55" s="497" t="str">
        <f>VLOOKUP($B55,DATA!$B$14:$AU$589,12,0)</f>
        <v>3744/QĐ-UBND ngày 23/10/2017</v>
      </c>
      <c r="H55" s="483">
        <f>VLOOKUP($B55,DATA!$B$14:$AU$589,13,0)</f>
        <v>2979</v>
      </c>
      <c r="I55" s="483">
        <f>VLOOKUP($B55,DATA!$B$14:$AU$589,15,0)</f>
        <v>2979</v>
      </c>
      <c r="J55" s="483">
        <f>VLOOKUP($B55,DATA!$B$14:$AU$589,26,0)</f>
        <v>838</v>
      </c>
      <c r="K55" s="483">
        <f>VLOOKUP($B55,DATA!$B$14:$AU$589,28,0)</f>
        <v>838</v>
      </c>
      <c r="L55" s="483">
        <f>VLOOKUP($B55,DATA!$B$14:$AU$589,29,0)</f>
        <v>2700</v>
      </c>
      <c r="M55" s="483">
        <f>VLOOKUP($B55,DATA!$B$14:$AU$589,30,0)</f>
        <v>1862</v>
      </c>
      <c r="N55" s="483">
        <f t="shared" si="3"/>
        <v>1862</v>
      </c>
      <c r="O55" s="497">
        <v>100</v>
      </c>
      <c r="P55" s="497"/>
      <c r="Q55" s="497" t="str">
        <f>VLOOKUP($B55,DATA!$B$14:$AU$589,33,0)</f>
        <v>Cập nhật KH 2018-2020, trừ CBĐT</v>
      </c>
    </row>
    <row r="56" spans="1:17" ht="34.5" customHeight="1">
      <c r="A56" s="484">
        <v>47</v>
      </c>
      <c r="B56" s="498" t="s">
        <v>322</v>
      </c>
      <c r="C56" s="497" t="str">
        <f>VLOOKUP($B56,DATA!$B$14:$AU$589,6,0)</f>
        <v>Bố Trạch</v>
      </c>
      <c r="D56" s="497" t="str">
        <f>VLOOKUP($B56,DATA!$B$14:$AU$589,36,0)</f>
        <v>NT Việt Trung</v>
      </c>
      <c r="E56" s="497">
        <f>VLOOKUP($B56,DATA!$B$14:$AU$589,7,0)</f>
        <v>2018</v>
      </c>
      <c r="F56" s="497">
        <f>VLOOKUP($B56,DATA!$B$14:$AU$589,9,0)</f>
        <v>2020</v>
      </c>
      <c r="G56" s="497" t="str">
        <f>VLOOKUP($B56,DATA!$B$14:$AU$589,12,0)</f>
        <v>3944/QĐ-UBND ngày 31/10/2017</v>
      </c>
      <c r="H56" s="483">
        <f>VLOOKUP($B56,DATA!$B$14:$AU$589,13,0)</f>
        <v>2722</v>
      </c>
      <c r="I56" s="483">
        <f>VLOOKUP($B56,DATA!$B$14:$AU$589,15,0)</f>
        <v>2722</v>
      </c>
      <c r="J56" s="483">
        <f>VLOOKUP($B56,DATA!$B$14:$AU$589,26,0)</f>
        <v>838</v>
      </c>
      <c r="K56" s="483">
        <f>VLOOKUP($B56,DATA!$B$14:$AU$589,28,0)</f>
        <v>838</v>
      </c>
      <c r="L56" s="483">
        <f>VLOOKUP($B56,DATA!$B$14:$AU$589,29,0)</f>
        <v>2700</v>
      </c>
      <c r="M56" s="483">
        <f>VLOOKUP($B56,DATA!$B$14:$AU$589,30,0)</f>
        <v>1862</v>
      </c>
      <c r="N56" s="483">
        <f t="shared" si="3"/>
        <v>1862</v>
      </c>
      <c r="O56" s="497">
        <v>100</v>
      </c>
      <c r="P56" s="497"/>
      <c r="Q56" s="497">
        <f>VLOOKUP($B56,DATA!$B$14:$AU$589,33,0)</f>
        <v>0</v>
      </c>
    </row>
    <row r="57" spans="1:17" ht="34.5" customHeight="1">
      <c r="A57" s="484">
        <v>48</v>
      </c>
      <c r="B57" s="498" t="s">
        <v>319</v>
      </c>
      <c r="C57" s="497" t="str">
        <f>VLOOKUP($B57,DATA!$B$14:$AU$589,6,0)</f>
        <v>Lệ Thủy</v>
      </c>
      <c r="D57" s="497" t="str">
        <f>VLOOKUP($B57,DATA!$B$14:$AU$589,36,0)</f>
        <v>Tân Thủy</v>
      </c>
      <c r="E57" s="497">
        <f>VLOOKUP($B57,DATA!$B$14:$AU$589,7,0)</f>
        <v>2018</v>
      </c>
      <c r="F57" s="497">
        <f>VLOOKUP($B57,DATA!$B$14:$AU$589,9,0)</f>
        <v>2020</v>
      </c>
      <c r="G57" s="497" t="str">
        <f>VLOOKUP($B57,DATA!$B$14:$AU$589,12,0)</f>
        <v>3934/QĐ-UBND ngày 30/10/2017</v>
      </c>
      <c r="H57" s="483">
        <f>VLOOKUP($B57,DATA!$B$14:$AU$589,13,0)</f>
        <v>3600</v>
      </c>
      <c r="I57" s="483">
        <f>VLOOKUP($B57,DATA!$B$14:$AU$589,15,0)</f>
        <v>2700</v>
      </c>
      <c r="J57" s="483">
        <f>VLOOKUP($B57,DATA!$B$14:$AU$589,26,0)</f>
        <v>838</v>
      </c>
      <c r="K57" s="483">
        <f>VLOOKUP($B57,DATA!$B$14:$AU$589,28,0)</f>
        <v>838</v>
      </c>
      <c r="L57" s="483">
        <f>VLOOKUP($B57,DATA!$B$14:$AU$589,29,0)</f>
        <v>2700</v>
      </c>
      <c r="M57" s="483">
        <f>VLOOKUP($B57,DATA!$B$14:$AU$589,30,0)</f>
        <v>1862</v>
      </c>
      <c r="N57" s="483">
        <f t="shared" si="3"/>
        <v>1862</v>
      </c>
      <c r="O57" s="497">
        <v>100</v>
      </c>
      <c r="P57" s="497"/>
      <c r="Q57" s="497" t="str">
        <f>VLOOKUP($B57,DATA!$B$14:$AU$589,33,0)</f>
        <v>Cập nhật KH 2018-2020, trừ CBĐT</v>
      </c>
    </row>
    <row r="58" spans="1:17" ht="34.5" customHeight="1">
      <c r="A58" s="484">
        <v>49</v>
      </c>
      <c r="B58" s="498" t="s">
        <v>320</v>
      </c>
      <c r="C58" s="497" t="str">
        <f>VLOOKUP($B58,DATA!$B$14:$AU$589,6,0)</f>
        <v>Lệ Thủy</v>
      </c>
      <c r="D58" s="497" t="str">
        <f>VLOOKUP($B58,DATA!$B$14:$AU$589,36,0)</f>
        <v>Phú Thủy</v>
      </c>
      <c r="E58" s="497">
        <f>VLOOKUP($B58,DATA!$B$14:$AU$589,7,0)</f>
        <v>2018</v>
      </c>
      <c r="F58" s="497">
        <f>VLOOKUP($B58,DATA!$B$14:$AU$589,9,0)</f>
        <v>2020</v>
      </c>
      <c r="G58" s="497" t="str">
        <f>VLOOKUP($B58,DATA!$B$14:$AU$589,12,0)</f>
        <v>3529/QĐ-UBND ngày 06/10/2017</v>
      </c>
      <c r="H58" s="483">
        <f>VLOOKUP($B58,DATA!$B$14:$AU$589,13,0)</f>
        <v>3000</v>
      </c>
      <c r="I58" s="483">
        <f>VLOOKUP($B58,DATA!$B$14:$AU$589,15,0)</f>
        <v>3000</v>
      </c>
      <c r="J58" s="483">
        <f>VLOOKUP($B58,DATA!$B$14:$AU$589,26,0)</f>
        <v>838</v>
      </c>
      <c r="K58" s="483">
        <f>VLOOKUP($B58,DATA!$B$14:$AU$589,28,0)</f>
        <v>838</v>
      </c>
      <c r="L58" s="483">
        <f>VLOOKUP($B58,DATA!$B$14:$AU$589,29,0)</f>
        <v>2700</v>
      </c>
      <c r="M58" s="483">
        <f>VLOOKUP($B58,DATA!$B$14:$AU$589,30,0)</f>
        <v>1862</v>
      </c>
      <c r="N58" s="483">
        <f t="shared" si="3"/>
        <v>1862</v>
      </c>
      <c r="O58" s="497">
        <v>100</v>
      </c>
      <c r="P58" s="497"/>
      <c r="Q58" s="497" t="str">
        <f>VLOOKUP($B58,DATA!$B$14:$AU$589,33,0)</f>
        <v>Cập nhật KH 2018-2020, trừ CBĐT</v>
      </c>
    </row>
    <row r="59" spans="1:17" ht="34.5" customHeight="1">
      <c r="A59" s="484">
        <v>50</v>
      </c>
      <c r="B59" s="498" t="s">
        <v>326</v>
      </c>
      <c r="C59" s="497" t="str">
        <f>VLOOKUP($B59,DATA!$B$14:$AU$589,6,0)</f>
        <v>Quảng Ninh</v>
      </c>
      <c r="D59" s="497" t="str">
        <f>VLOOKUP($B59,DATA!$B$14:$AU$589,36,0)</f>
        <v>Võ Ninh</v>
      </c>
      <c r="E59" s="497">
        <f>VLOOKUP($B59,DATA!$B$14:$AU$589,7,0)</f>
        <v>2018</v>
      </c>
      <c r="F59" s="497">
        <f>VLOOKUP($B59,DATA!$B$14:$AU$589,9,0)</f>
        <v>2020</v>
      </c>
      <c r="G59" s="497" t="str">
        <f>VLOOKUP($B59,DATA!$B$14:$AU$589,12,0)</f>
        <v>3930/QĐ-UBND ngày 30/10/2017</v>
      </c>
      <c r="H59" s="483">
        <f>VLOOKUP($B59,DATA!$B$14:$AU$589,13,0)</f>
        <v>3000</v>
      </c>
      <c r="I59" s="483">
        <f>VLOOKUP($B59,DATA!$B$14:$AU$589,15,0)</f>
        <v>3000</v>
      </c>
      <c r="J59" s="483">
        <f>VLOOKUP($B59,DATA!$B$14:$AU$589,26,0)</f>
        <v>838</v>
      </c>
      <c r="K59" s="483">
        <f>VLOOKUP($B59,DATA!$B$14:$AU$589,28,0)</f>
        <v>838</v>
      </c>
      <c r="L59" s="483">
        <f>VLOOKUP($B59,DATA!$B$14:$AU$589,29,0)</f>
        <v>2700</v>
      </c>
      <c r="M59" s="483">
        <f>VLOOKUP($B59,DATA!$B$14:$AU$589,30,0)</f>
        <v>1862</v>
      </c>
      <c r="N59" s="483">
        <f t="shared" si="3"/>
        <v>1862</v>
      </c>
      <c r="O59" s="497">
        <v>100</v>
      </c>
      <c r="P59" s="497"/>
      <c r="Q59" s="497" t="str">
        <f>VLOOKUP($B59,DATA!$B$14:$AU$589,33,0)</f>
        <v>Cập nhật KH 2018-2020, trừ CBĐT</v>
      </c>
    </row>
    <row r="60" spans="1:17" ht="34.5" customHeight="1">
      <c r="A60" s="484">
        <v>51</v>
      </c>
      <c r="B60" s="498" t="s">
        <v>327</v>
      </c>
      <c r="C60" s="497" t="str">
        <f>VLOOKUP($B60,DATA!$B$14:$AU$589,6,0)</f>
        <v>Quảng Ninh</v>
      </c>
      <c r="D60" s="497" t="str">
        <f>VLOOKUP($B60,DATA!$B$14:$AU$589,36,0)</f>
        <v>Hàm Ninh</v>
      </c>
      <c r="E60" s="497">
        <f>VLOOKUP($B60,DATA!$B$14:$AU$589,7,0)</f>
        <v>2018</v>
      </c>
      <c r="F60" s="497">
        <f>VLOOKUP($B60,DATA!$B$14:$AU$589,9,0)</f>
        <v>2020</v>
      </c>
      <c r="G60" s="497" t="str">
        <f>VLOOKUP($B60,DATA!$B$14:$AU$589,12,0)</f>
        <v>3830/QĐ-UBND ngày 27/10/2017</v>
      </c>
      <c r="H60" s="483">
        <f>VLOOKUP($B60,DATA!$B$14:$AU$589,13,0)</f>
        <v>3000</v>
      </c>
      <c r="I60" s="483">
        <f>VLOOKUP($B60,DATA!$B$14:$AU$589,15,0)</f>
        <v>3000</v>
      </c>
      <c r="J60" s="483">
        <f>VLOOKUP($B60,DATA!$B$14:$AU$589,26,0)</f>
        <v>838</v>
      </c>
      <c r="K60" s="483">
        <f>VLOOKUP($B60,DATA!$B$14:$AU$589,28,0)</f>
        <v>838</v>
      </c>
      <c r="L60" s="483">
        <f>VLOOKUP($B60,DATA!$B$14:$AU$589,29,0)</f>
        <v>2700</v>
      </c>
      <c r="M60" s="483">
        <f>VLOOKUP($B60,DATA!$B$14:$AU$589,30,0)</f>
        <v>1862</v>
      </c>
      <c r="N60" s="483">
        <f t="shared" si="3"/>
        <v>1862</v>
      </c>
      <c r="O60" s="497">
        <v>100</v>
      </c>
      <c r="P60" s="497"/>
      <c r="Q60" s="497" t="str">
        <f>VLOOKUP($B60,DATA!$B$14:$AU$589,33,0)</f>
        <v>Cập nhật KH 2018-2020, trừ CBĐT</v>
      </c>
    </row>
    <row r="61" spans="1:17" ht="34.5" customHeight="1">
      <c r="A61" s="484">
        <v>52</v>
      </c>
      <c r="B61" s="498" t="s">
        <v>321</v>
      </c>
      <c r="C61" s="497" t="str">
        <f>VLOOKUP($B61,DATA!$B$14:$AU$589,6,0)</f>
        <v>Tuyên Hóa</v>
      </c>
      <c r="D61" s="497" t="str">
        <f>VLOOKUP($B61,DATA!$B$14:$AU$589,36,0)</f>
        <v>Tiến Hóa</v>
      </c>
      <c r="E61" s="497">
        <f>VLOOKUP($B61,DATA!$B$14:$AU$589,7,0)</f>
        <v>2018</v>
      </c>
      <c r="F61" s="497">
        <f>VLOOKUP($B61,DATA!$B$14:$AU$589,9,0)</f>
        <v>2020</v>
      </c>
      <c r="G61" s="497" t="str">
        <f>VLOOKUP($B61,DATA!$B$14:$AU$589,12,0)</f>
        <v>3645/QĐ-UBND ngày 16/10/2017</v>
      </c>
      <c r="H61" s="483">
        <f>VLOOKUP($B61,DATA!$B$14:$AU$589,13,0)</f>
        <v>3000</v>
      </c>
      <c r="I61" s="483">
        <f>VLOOKUP($B61,DATA!$B$14:$AU$589,15,0)</f>
        <v>3000</v>
      </c>
      <c r="J61" s="483">
        <f>VLOOKUP($B61,DATA!$B$14:$AU$589,26,0)</f>
        <v>838</v>
      </c>
      <c r="K61" s="483">
        <f>VLOOKUP($B61,DATA!$B$14:$AU$589,28,0)</f>
        <v>838</v>
      </c>
      <c r="L61" s="483">
        <f>VLOOKUP($B61,DATA!$B$14:$AU$589,29,0)</f>
        <v>2700</v>
      </c>
      <c r="M61" s="483">
        <f>VLOOKUP($B61,DATA!$B$14:$AU$589,30,0)</f>
        <v>1862</v>
      </c>
      <c r="N61" s="483">
        <f t="shared" si="3"/>
        <v>1862</v>
      </c>
      <c r="O61" s="497">
        <v>100</v>
      </c>
      <c r="P61" s="497"/>
      <c r="Q61" s="497" t="str">
        <f>VLOOKUP($B61,DATA!$B$14:$AU$589,33,0)</f>
        <v>Cập nhật KH 2018-2020, trừ CBĐT</v>
      </c>
    </row>
    <row r="62" spans="1:17" ht="34.5" customHeight="1">
      <c r="A62" s="484">
        <v>53</v>
      </c>
      <c r="B62" s="498" t="s">
        <v>899</v>
      </c>
      <c r="C62" s="497" t="str">
        <f>VLOOKUP($B62,DATA!$B$14:$AU$589,6,0)</f>
        <v>Bố Trạch</v>
      </c>
      <c r="D62" s="497" t="str">
        <f>VLOOKUP($B62,DATA!$B$14:$AU$589,36,0)</f>
        <v>NT Việt Trung</v>
      </c>
      <c r="E62" s="497">
        <f>VLOOKUP($B62,DATA!$B$14:$AU$589,7,0)</f>
        <v>2018</v>
      </c>
      <c r="F62" s="497">
        <f>VLOOKUP($B62,DATA!$B$14:$AU$589,9,0)</f>
        <v>2020</v>
      </c>
      <c r="G62" s="497" t="str">
        <f>VLOOKUP($B62,DATA!$B$14:$AU$589,12,0)</f>
        <v>3963/QĐ-UBND ngày 31/10/2017</v>
      </c>
      <c r="H62" s="483">
        <f>VLOOKUP($B62,DATA!$B$14:$AU$589,13,0)</f>
        <v>3000</v>
      </c>
      <c r="I62" s="483">
        <f>VLOOKUP($B62,DATA!$B$14:$AU$589,15,0)</f>
        <v>3000</v>
      </c>
      <c r="J62" s="483">
        <f>VLOOKUP($B62,DATA!$B$14:$AU$589,26,0)</f>
        <v>810</v>
      </c>
      <c r="K62" s="483">
        <f>VLOOKUP($B62,DATA!$B$14:$AU$589,28,0)</f>
        <v>810</v>
      </c>
      <c r="L62" s="483">
        <f>VLOOKUP($B62,DATA!$B$14:$AU$589,29,0)</f>
        <v>2700</v>
      </c>
      <c r="M62" s="483">
        <f>VLOOKUP($B62,DATA!$B$14:$AU$589,30,0)</f>
        <v>1890</v>
      </c>
      <c r="N62" s="483">
        <f t="shared" si="3"/>
        <v>1890</v>
      </c>
      <c r="O62" s="497">
        <v>100</v>
      </c>
      <c r="P62" s="497"/>
      <c r="Q62" s="497" t="str">
        <f>VLOOKUP($B62,DATA!$B$14:$AU$589,33,0)</f>
        <v>Đ/c thời gian KCM từ 2019 về 2018</v>
      </c>
    </row>
    <row r="63" spans="1:17" ht="34.5" customHeight="1">
      <c r="A63" s="484">
        <v>54</v>
      </c>
      <c r="B63" s="498" t="s">
        <v>334</v>
      </c>
      <c r="C63" s="497" t="str">
        <f>VLOOKUP($B63,DATA!$B$14:$AU$589,6,0)</f>
        <v>Quảng Trạch</v>
      </c>
      <c r="D63" s="497" t="str">
        <f>VLOOKUP($B63,DATA!$B$14:$AU$589,36,0)</f>
        <v>Quảng Thạch</v>
      </c>
      <c r="E63" s="497">
        <f>VLOOKUP($B63,DATA!$B$14:$AU$589,7,0)</f>
        <v>2018</v>
      </c>
      <c r="F63" s="497">
        <f>VLOOKUP($B63,DATA!$B$14:$AU$589,9,0)</f>
        <v>2020</v>
      </c>
      <c r="G63" s="497" t="str">
        <f>VLOOKUP($B63,DATA!$B$14:$AU$589,12,0)</f>
        <v>3926/QĐ-UBND ngày 30/10/2017</v>
      </c>
      <c r="H63" s="483">
        <f>VLOOKUP($B63,DATA!$B$14:$AU$589,13,0)</f>
        <v>3000</v>
      </c>
      <c r="I63" s="483">
        <f>VLOOKUP($B63,DATA!$B$14:$AU$589,15,0)</f>
        <v>3000</v>
      </c>
      <c r="J63" s="483">
        <f>VLOOKUP($B63,DATA!$B$14:$AU$589,26,0)</f>
        <v>810</v>
      </c>
      <c r="K63" s="483">
        <f>VLOOKUP($B63,DATA!$B$14:$AU$589,28,0)</f>
        <v>810</v>
      </c>
      <c r="L63" s="483">
        <f>VLOOKUP($B63,DATA!$B$14:$AU$589,29,0)</f>
        <v>2700</v>
      </c>
      <c r="M63" s="483">
        <f>VLOOKUP($B63,DATA!$B$14:$AU$589,30,0)</f>
        <v>1890</v>
      </c>
      <c r="N63" s="483">
        <f t="shared" si="3"/>
        <v>1890</v>
      </c>
      <c r="O63" s="497">
        <v>100</v>
      </c>
      <c r="P63" s="497"/>
      <c r="Q63" s="497">
        <f>VLOOKUP($B63,DATA!$B$14:$AU$589,33,0)</f>
        <v>0</v>
      </c>
    </row>
    <row r="64" spans="1:17" ht="34.5" customHeight="1">
      <c r="A64" s="484">
        <v>55</v>
      </c>
      <c r="B64" s="498" t="s">
        <v>907</v>
      </c>
      <c r="C64" s="497" t="str">
        <f>VLOOKUP($B64,DATA!$B$14:$AU$589,6,0)</f>
        <v>Bố Trạch</v>
      </c>
      <c r="D64" s="497" t="str">
        <f>VLOOKUP($B64,DATA!$B$14:$AU$589,36,0)</f>
        <v>Nam Trạch</v>
      </c>
      <c r="E64" s="497">
        <f>VLOOKUP($B64,DATA!$B$14:$AU$589,7,0)</f>
        <v>2018</v>
      </c>
      <c r="F64" s="497">
        <f>VLOOKUP($B64,DATA!$B$14:$AU$589,9,0)</f>
        <v>2020</v>
      </c>
      <c r="G64" s="497" t="str">
        <f>VLOOKUP($B64,DATA!$B$14:$AU$589,12,0)</f>
        <v>3947/QĐ-UB ND ngày 31/10/2017</v>
      </c>
      <c r="H64" s="483">
        <f>VLOOKUP($B64,DATA!$B$14:$AU$589,13,0)</f>
        <v>3200</v>
      </c>
      <c r="I64" s="483">
        <f>VLOOKUP($B64,DATA!$B$14:$AU$589,15,0)</f>
        <v>3200</v>
      </c>
      <c r="J64" s="483">
        <f>VLOOKUP($B64,DATA!$B$14:$AU$589,26,0)</f>
        <v>892</v>
      </c>
      <c r="K64" s="483">
        <f>VLOOKUP($B64,DATA!$B$14:$AU$589,28,0)</f>
        <v>892</v>
      </c>
      <c r="L64" s="483">
        <f>VLOOKUP($B64,DATA!$B$14:$AU$589,29,0)</f>
        <v>2880</v>
      </c>
      <c r="M64" s="483">
        <f>VLOOKUP($B64,DATA!$B$14:$AU$589,30,0)</f>
        <v>1988</v>
      </c>
      <c r="N64" s="483">
        <f t="shared" si="3"/>
        <v>1988</v>
      </c>
      <c r="O64" s="497">
        <v>100</v>
      </c>
      <c r="P64" s="497" t="s">
        <v>2103</v>
      </c>
      <c r="Q64" s="497" t="str">
        <f>VLOOKUP($B64,DATA!$B$14:$AU$589,33,0)</f>
        <v>Cập nhật KH 2018-2020, trừ CBĐT</v>
      </c>
    </row>
    <row r="65" spans="1:17" ht="34.5" customHeight="1">
      <c r="A65" s="484">
        <v>56</v>
      </c>
      <c r="B65" s="498" t="s">
        <v>335</v>
      </c>
      <c r="C65" s="497" t="str">
        <f>VLOOKUP($B65,DATA!$B$14:$AU$589,6,0)</f>
        <v>Lệ Thủy</v>
      </c>
      <c r="D65" s="497" t="str">
        <f>VLOOKUP($B65,DATA!$B$14:$AU$589,36,0)</f>
        <v>Xuân Thủy</v>
      </c>
      <c r="E65" s="497">
        <f>VLOOKUP($B65,DATA!$B$14:$AU$589,7,0)</f>
        <v>2018</v>
      </c>
      <c r="F65" s="497">
        <f>VLOOKUP($B65,DATA!$B$14:$AU$589,9,0)</f>
        <v>2020</v>
      </c>
      <c r="G65" s="497" t="str">
        <f>VLOOKUP($B65,DATA!$B$14:$AU$589,12,0)</f>
        <v>3688/QĐ-UBND ngày 16/10/2017</v>
      </c>
      <c r="H65" s="483">
        <f>VLOOKUP($B65,DATA!$B$14:$AU$589,13,0)</f>
        <v>3200</v>
      </c>
      <c r="I65" s="483">
        <f>VLOOKUP($B65,DATA!$B$14:$AU$589,15,0)</f>
        <v>3200</v>
      </c>
      <c r="J65" s="483">
        <f>VLOOKUP($B65,DATA!$B$14:$AU$589,26,0)</f>
        <v>864</v>
      </c>
      <c r="K65" s="483">
        <f>VLOOKUP($B65,DATA!$B$14:$AU$589,28,0)</f>
        <v>864</v>
      </c>
      <c r="L65" s="483">
        <f>VLOOKUP($B65,DATA!$B$14:$AU$589,29,0)</f>
        <v>2880</v>
      </c>
      <c r="M65" s="483">
        <f>VLOOKUP($B65,DATA!$B$14:$AU$589,30,0)</f>
        <v>2016</v>
      </c>
      <c r="N65" s="483">
        <f t="shared" si="3"/>
        <v>1008</v>
      </c>
      <c r="O65" s="497">
        <v>50</v>
      </c>
      <c r="P65" s="497"/>
      <c r="Q65" s="497">
        <f>VLOOKUP($B65,DATA!$B$14:$AU$589,33,0)</f>
        <v>0</v>
      </c>
    </row>
    <row r="66" spans="1:17" ht="34.5" customHeight="1">
      <c r="A66" s="484">
        <v>57</v>
      </c>
      <c r="B66" s="498" t="s">
        <v>607</v>
      </c>
      <c r="C66" s="497" t="str">
        <f>VLOOKUP($B66,DATA!$B$14:$AU$589,6,0)</f>
        <v>Quảng Trạch</v>
      </c>
      <c r="D66" s="497" t="str">
        <f>VLOOKUP($B66,DATA!$B$14:$AU$589,36,0)</f>
        <v>Quảng Phú</v>
      </c>
      <c r="E66" s="497">
        <f>VLOOKUP($B66,DATA!$B$14:$AU$589,7,0)</f>
        <v>2018</v>
      </c>
      <c r="F66" s="497">
        <f>VLOOKUP($B66,DATA!$B$14:$AU$589,9,0)</f>
        <v>2020</v>
      </c>
      <c r="G66" s="497" t="str">
        <f>VLOOKUP($B66,DATA!$B$14:$AU$589,12,0)</f>
        <v>3881/QĐ-UBND ngày 30/10/2017</v>
      </c>
      <c r="H66" s="483">
        <f>VLOOKUP($B66,DATA!$B$14:$AU$589,13,0)</f>
        <v>5500</v>
      </c>
      <c r="I66" s="483">
        <f>VLOOKUP($B66,DATA!$B$14:$AU$589,15,0)</f>
        <v>5500</v>
      </c>
      <c r="J66" s="483">
        <f>VLOOKUP($B66,DATA!$B$14:$AU$589,26,0)</f>
        <v>891</v>
      </c>
      <c r="K66" s="483">
        <f>VLOOKUP($B66,DATA!$B$14:$AU$589,28,0)</f>
        <v>891</v>
      </c>
      <c r="L66" s="483">
        <f>VLOOKUP($B66,DATA!$B$14:$AU$589,29,0)</f>
        <v>2970</v>
      </c>
      <c r="M66" s="483">
        <f>VLOOKUP($B66,DATA!$B$14:$AU$589,30,0)</f>
        <v>2079</v>
      </c>
      <c r="N66" s="483">
        <f t="shared" si="3"/>
        <v>1039.5</v>
      </c>
      <c r="O66" s="497">
        <v>50</v>
      </c>
      <c r="P66" s="497"/>
      <c r="Q66" s="497" t="str">
        <f>VLOOKUP($B66,DATA!$B$14:$AU$589,33,0)</f>
        <v>Đ/c thời gian KCM từ 2019 về 2018</v>
      </c>
    </row>
    <row r="67" spans="1:17" ht="34.5" customHeight="1">
      <c r="A67" s="484">
        <v>58</v>
      </c>
      <c r="B67" s="498" t="s">
        <v>317</v>
      </c>
      <c r="C67" s="497" t="str">
        <f>VLOOKUP($B67,DATA!$B$14:$AU$589,6,0)</f>
        <v>Quảng Trạch</v>
      </c>
      <c r="D67" s="497" t="str">
        <f>VLOOKUP($B67,DATA!$B$14:$AU$589,36,0)</f>
        <v>Quảng Hợp</v>
      </c>
      <c r="E67" s="497">
        <f>VLOOKUP($B67,DATA!$B$14:$AU$589,7,0)</f>
        <v>2018</v>
      </c>
      <c r="F67" s="497">
        <f>VLOOKUP($B67,DATA!$B$14:$AU$589,9,0)</f>
        <v>2020</v>
      </c>
      <c r="G67" s="497" t="str">
        <f>VLOOKUP($B67,DATA!$B$14:$AU$589,12,0)</f>
        <v>3841/QĐ-UBND ngày 30/10/2017</v>
      </c>
      <c r="H67" s="483">
        <f>VLOOKUP($B67,DATA!$B$14:$AU$589,13,0)</f>
        <v>3700</v>
      </c>
      <c r="I67" s="483">
        <f>VLOOKUP($B67,DATA!$B$14:$AU$589,15,0)</f>
        <v>3700</v>
      </c>
      <c r="J67" s="483">
        <f>VLOOKUP($B67,DATA!$B$14:$AU$589,26,0)</f>
        <v>1027</v>
      </c>
      <c r="K67" s="483">
        <f>VLOOKUP($B67,DATA!$B$14:$AU$589,28,0)</f>
        <v>1027</v>
      </c>
      <c r="L67" s="483">
        <f>VLOOKUP($B67,DATA!$B$14:$AU$589,29,0)</f>
        <v>3330</v>
      </c>
      <c r="M67" s="483">
        <f>VLOOKUP($B67,DATA!$B$14:$AU$589,30,0)</f>
        <v>2303</v>
      </c>
      <c r="N67" s="483">
        <f t="shared" si="3"/>
        <v>1151.5</v>
      </c>
      <c r="O67" s="497">
        <v>50</v>
      </c>
      <c r="P67" s="497"/>
      <c r="Q67" s="497" t="str">
        <f>VLOOKUP($B67,DATA!$B$14:$AU$589,33,0)</f>
        <v>Cập nhật KH 2018-2020, trừ CBĐT</v>
      </c>
    </row>
    <row r="68" spans="1:17" ht="34.5" customHeight="1">
      <c r="A68" s="484">
        <v>59</v>
      </c>
      <c r="B68" s="498" t="s">
        <v>492</v>
      </c>
      <c r="C68" s="497" t="str">
        <f>VLOOKUP($B68,DATA!$B$14:$AU$589,6,0)</f>
        <v>Bố Trạch</v>
      </c>
      <c r="D68" s="497" t="str">
        <f>VLOOKUP($B68,DATA!$B$14:$AU$589,36,0)</f>
        <v>Hoàn Lão</v>
      </c>
      <c r="E68" s="497">
        <f>VLOOKUP($B68,DATA!$B$14:$AU$589,7,0)</f>
        <v>2018</v>
      </c>
      <c r="F68" s="497">
        <f>VLOOKUP($B68,DATA!$B$14:$AU$589,9,0)</f>
        <v>2020</v>
      </c>
      <c r="G68" s="497" t="str">
        <f>VLOOKUP($B68,DATA!$B$14:$AU$589,12,0)</f>
        <v>3892/QĐ-UBND ngày 30/10/2017</v>
      </c>
      <c r="H68" s="483">
        <f>VLOOKUP($B68,DATA!$B$14:$AU$589,13,0)</f>
        <v>3996</v>
      </c>
      <c r="I68" s="483">
        <f>VLOOKUP($B68,DATA!$B$14:$AU$589,15,0)</f>
        <v>3996</v>
      </c>
      <c r="J68" s="483">
        <f>VLOOKUP($B68,DATA!$B$14:$AU$589,26,0)</f>
        <v>1106.8</v>
      </c>
      <c r="K68" s="483">
        <f>VLOOKUP($B68,DATA!$B$14:$AU$589,28,0)</f>
        <v>1106.8</v>
      </c>
      <c r="L68" s="483">
        <f>VLOOKUP($B68,DATA!$B$14:$AU$589,29,0)</f>
        <v>3596</v>
      </c>
      <c r="M68" s="483">
        <f>VLOOKUP($B68,DATA!$B$14:$AU$589,30,0)</f>
        <v>2489.1999999999998</v>
      </c>
      <c r="N68" s="483">
        <f t="shared" si="3"/>
        <v>1244.5999999999999</v>
      </c>
      <c r="O68" s="497">
        <v>50</v>
      </c>
      <c r="P68" s="497"/>
      <c r="Q68" s="497" t="str">
        <f>VLOOKUP($B68,DATA!$B$14:$AU$589,33,0)</f>
        <v>Cập nhật KH 2018-2020, trừ CBĐT</v>
      </c>
    </row>
    <row r="69" spans="1:17" ht="34.5" customHeight="1">
      <c r="A69" s="484">
        <v>60</v>
      </c>
      <c r="B69" s="498" t="s">
        <v>915</v>
      </c>
      <c r="C69" s="497" t="str">
        <f>VLOOKUP($B69,DATA!$B$14:$AU$589,6,0)</f>
        <v>Ba Đồn</v>
      </c>
      <c r="D69" s="497" t="str">
        <f>VLOOKUP($B69,DATA!$B$14:$AU$589,36,0)</f>
        <v>Quảng Phong</v>
      </c>
      <c r="E69" s="497">
        <f>VLOOKUP($B69,DATA!$B$14:$AU$589,7,0)</f>
        <v>2018</v>
      </c>
      <c r="F69" s="497">
        <f>VLOOKUP($B69,DATA!$B$14:$AU$589,9,0)</f>
        <v>2020</v>
      </c>
      <c r="G69" s="497" t="str">
        <f>VLOOKUP($B69,DATA!$B$14:$AU$589,12,0)</f>
        <v>3769/QĐ-UBND ngày 25/10/2007</v>
      </c>
      <c r="H69" s="483">
        <f>VLOOKUP($B69,DATA!$B$14:$AU$589,13,0)</f>
        <v>4000</v>
      </c>
      <c r="I69" s="483">
        <f>VLOOKUP($B69,DATA!$B$14:$AU$589,15,0)</f>
        <v>4000</v>
      </c>
      <c r="J69" s="483">
        <f>VLOOKUP($B69,DATA!$B$14:$AU$589,26,0)</f>
        <v>1108</v>
      </c>
      <c r="K69" s="483">
        <f>VLOOKUP($B69,DATA!$B$14:$AU$589,28,0)</f>
        <v>1108</v>
      </c>
      <c r="L69" s="483">
        <f>VLOOKUP($B69,DATA!$B$14:$AU$589,29,0)</f>
        <v>3600</v>
      </c>
      <c r="M69" s="483">
        <f>VLOOKUP($B69,DATA!$B$14:$AU$589,30,0)</f>
        <v>2492</v>
      </c>
      <c r="N69" s="483">
        <f t="shared" si="3"/>
        <v>1246</v>
      </c>
      <c r="O69" s="497">
        <v>50</v>
      </c>
      <c r="P69" s="497"/>
      <c r="Q69" s="497" t="str">
        <f>VLOOKUP($B69,DATA!$B$14:$AU$589,33,0)</f>
        <v>Cập nhật KH 2018-2020, trừ CBĐT</v>
      </c>
    </row>
    <row r="70" spans="1:17" ht="34.5" customHeight="1">
      <c r="A70" s="484">
        <v>61</v>
      </c>
      <c r="B70" s="498" t="s">
        <v>315</v>
      </c>
      <c r="C70" s="497" t="str">
        <f>VLOOKUP($B70,DATA!$B$14:$AU$589,6,0)</f>
        <v>Bố Trạch</v>
      </c>
      <c r="D70" s="497" t="str">
        <f>VLOOKUP($B70,DATA!$B$14:$AU$589,36,0)</f>
        <v>Hoàn Lão</v>
      </c>
      <c r="E70" s="497">
        <f>VLOOKUP($B70,DATA!$B$14:$AU$589,7,0)</f>
        <v>2018</v>
      </c>
      <c r="F70" s="497">
        <f>VLOOKUP($B70,DATA!$B$14:$AU$589,9,0)</f>
        <v>2020</v>
      </c>
      <c r="G70" s="497" t="str">
        <f>VLOOKUP($B70,DATA!$B$14:$AU$589,12,0)</f>
        <v>3843/QĐ-UBND ngày 30/10/2017</v>
      </c>
      <c r="H70" s="483">
        <f>VLOOKUP($B70,DATA!$B$14:$AU$589,13,0)</f>
        <v>4000</v>
      </c>
      <c r="I70" s="483">
        <f>VLOOKUP($B70,DATA!$B$14:$AU$589,15,0)</f>
        <v>4000</v>
      </c>
      <c r="J70" s="483">
        <f>VLOOKUP($B70,DATA!$B$14:$AU$589,26,0)</f>
        <v>1108</v>
      </c>
      <c r="K70" s="483">
        <f>VLOOKUP($B70,DATA!$B$14:$AU$589,28,0)</f>
        <v>1108</v>
      </c>
      <c r="L70" s="483">
        <f>VLOOKUP($B70,DATA!$B$14:$AU$589,29,0)</f>
        <v>3600</v>
      </c>
      <c r="M70" s="483">
        <f>VLOOKUP($B70,DATA!$B$14:$AU$589,30,0)</f>
        <v>2492</v>
      </c>
      <c r="N70" s="483">
        <f t="shared" si="3"/>
        <v>1246</v>
      </c>
      <c r="O70" s="497">
        <v>50</v>
      </c>
      <c r="P70" s="497"/>
      <c r="Q70" s="497" t="str">
        <f>VLOOKUP($B70,DATA!$B$14:$AU$589,33,0)</f>
        <v>Cập nhật KH 2018-2020, trừ CBĐT</v>
      </c>
    </row>
    <row r="71" spans="1:17" ht="34.5" customHeight="1">
      <c r="A71" s="484">
        <v>62</v>
      </c>
      <c r="B71" s="498" t="s">
        <v>475</v>
      </c>
      <c r="C71" s="497" t="str">
        <f>VLOOKUP($B71,DATA!$B$14:$AU$589,6,0)</f>
        <v>Lệ Thủy</v>
      </c>
      <c r="D71" s="497" t="str">
        <f>VLOOKUP($B71,DATA!$B$14:$AU$589,36,0)</f>
        <v>Phong Thủy</v>
      </c>
      <c r="E71" s="497">
        <f>VLOOKUP($B71,DATA!$B$14:$AU$589,7,0)</f>
        <v>2018</v>
      </c>
      <c r="F71" s="497">
        <f>VLOOKUP($B71,DATA!$B$14:$AU$589,9,0)</f>
        <v>2020</v>
      </c>
      <c r="G71" s="497" t="str">
        <f>VLOOKUP($B71,DATA!$B$14:$AU$589,12,0)</f>
        <v>3958/QĐ-UBND ngày 31/10/2017</v>
      </c>
      <c r="H71" s="483">
        <f>VLOOKUP($B71,DATA!$B$14:$AU$589,13,0)</f>
        <v>4000</v>
      </c>
      <c r="I71" s="483">
        <f>VLOOKUP($B71,DATA!$B$14:$AU$589,15,0)</f>
        <v>4000</v>
      </c>
      <c r="J71" s="483">
        <f>VLOOKUP($B71,DATA!$B$14:$AU$589,26,0)</f>
        <v>1108</v>
      </c>
      <c r="K71" s="483">
        <f>VLOOKUP($B71,DATA!$B$14:$AU$589,28,0)</f>
        <v>1108</v>
      </c>
      <c r="L71" s="483">
        <f>VLOOKUP($B71,DATA!$B$14:$AU$589,29,0)</f>
        <v>3600</v>
      </c>
      <c r="M71" s="483">
        <f>VLOOKUP($B71,DATA!$B$14:$AU$589,30,0)</f>
        <v>2492</v>
      </c>
      <c r="N71" s="483">
        <f t="shared" si="3"/>
        <v>1246</v>
      </c>
      <c r="O71" s="497">
        <v>50</v>
      </c>
      <c r="P71" s="497"/>
      <c r="Q71" s="497" t="str">
        <f>VLOOKUP($B71,DATA!$B$14:$AU$589,33,0)</f>
        <v>Cập nhật KH 2018-2020, trừ CBĐT</v>
      </c>
    </row>
    <row r="72" spans="1:17" ht="34.5" customHeight="1">
      <c r="A72" s="484">
        <v>63</v>
      </c>
      <c r="B72" s="498" t="s">
        <v>605</v>
      </c>
      <c r="C72" s="497" t="str">
        <f>VLOOKUP($B72,DATA!$B$14:$AU$589,6,0)</f>
        <v>Lệ Thủy</v>
      </c>
      <c r="D72" s="497" t="str">
        <f>VLOOKUP($B72,DATA!$B$14:$AU$589,36,0)</f>
        <v>NT Lệ Ninh</v>
      </c>
      <c r="E72" s="497">
        <f>VLOOKUP($B72,DATA!$B$14:$AU$589,7,0)</f>
        <v>2018</v>
      </c>
      <c r="F72" s="497">
        <f>VLOOKUP($B72,DATA!$B$14:$AU$589,9,0)</f>
        <v>2020</v>
      </c>
      <c r="G72" s="497" t="str">
        <f>VLOOKUP($B72,DATA!$B$14:$AU$589,12,0)</f>
        <v>3241/QĐ-UBND ngày 18/9/2017</v>
      </c>
      <c r="H72" s="483">
        <f>VLOOKUP($B72,DATA!$B$14:$AU$589,13,0)</f>
        <v>4000</v>
      </c>
      <c r="I72" s="483">
        <f>VLOOKUP($B72,DATA!$B$14:$AU$589,15,0)</f>
        <v>4000</v>
      </c>
      <c r="J72" s="483">
        <f>VLOOKUP($B72,DATA!$B$14:$AU$589,26,0)</f>
        <v>1080</v>
      </c>
      <c r="K72" s="483">
        <f>VLOOKUP($B72,DATA!$B$14:$AU$589,28,0)</f>
        <v>1080</v>
      </c>
      <c r="L72" s="483">
        <f>VLOOKUP($B72,DATA!$B$14:$AU$589,29,0)</f>
        <v>3600</v>
      </c>
      <c r="M72" s="483">
        <f>VLOOKUP($B72,DATA!$B$14:$AU$589,30,0)</f>
        <v>2520</v>
      </c>
      <c r="N72" s="483">
        <f t="shared" si="3"/>
        <v>1260</v>
      </c>
      <c r="O72" s="497">
        <v>50</v>
      </c>
      <c r="P72" s="497"/>
      <c r="Q72" s="497">
        <f>VLOOKUP($B72,DATA!$B$14:$AU$589,33,0)</f>
        <v>0</v>
      </c>
    </row>
    <row r="73" spans="1:17" ht="34.5" customHeight="1">
      <c r="A73" s="484">
        <v>64</v>
      </c>
      <c r="B73" s="498" t="s">
        <v>330</v>
      </c>
      <c r="C73" s="497" t="str">
        <f>VLOOKUP($B73,DATA!$B$14:$AU$589,6,0)</f>
        <v>Ba Đồn</v>
      </c>
      <c r="D73" s="497" t="str">
        <f>VLOOKUP($B73,DATA!$B$14:$AU$589,36,0)</f>
        <v>Quảng Long</v>
      </c>
      <c r="E73" s="497">
        <f>VLOOKUP($B73,DATA!$B$14:$AU$589,7,0)</f>
        <v>2018</v>
      </c>
      <c r="F73" s="497">
        <f>VLOOKUP($B73,DATA!$B$14:$AU$589,9,0)</f>
        <v>2020</v>
      </c>
      <c r="G73" s="497" t="str">
        <f>VLOOKUP($B73,DATA!$B$14:$AU$589,12,0)</f>
        <v>3566/QĐ-UBND ngày 09/7/2017</v>
      </c>
      <c r="H73" s="483">
        <f>VLOOKUP($B73,DATA!$B$14:$AU$589,13,0)</f>
        <v>4169</v>
      </c>
      <c r="I73" s="483">
        <f>VLOOKUP($B73,DATA!$B$14:$AU$589,15,0)</f>
        <v>4169</v>
      </c>
      <c r="J73" s="483">
        <f>VLOOKUP($B73,DATA!$B$14:$AU$589,26,0)</f>
        <v>1162</v>
      </c>
      <c r="K73" s="483">
        <f>VLOOKUP($B73,DATA!$B$14:$AU$589,28,0)</f>
        <v>1162</v>
      </c>
      <c r="L73" s="483">
        <f>VLOOKUP($B73,DATA!$B$14:$AU$589,29,0)</f>
        <v>3780</v>
      </c>
      <c r="M73" s="483">
        <f>VLOOKUP($B73,DATA!$B$14:$AU$589,30,0)</f>
        <v>2618</v>
      </c>
      <c r="N73" s="483">
        <f t="shared" si="3"/>
        <v>1309</v>
      </c>
      <c r="O73" s="497">
        <v>50</v>
      </c>
      <c r="P73" s="497"/>
      <c r="Q73" s="497">
        <f>VLOOKUP($B73,DATA!$B$14:$AU$589,33,0)</f>
        <v>0</v>
      </c>
    </row>
    <row r="74" spans="1:17" ht="34.5" customHeight="1">
      <c r="A74" s="484">
        <v>65</v>
      </c>
      <c r="B74" s="498" t="s">
        <v>609</v>
      </c>
      <c r="C74" s="497" t="str">
        <f>VLOOKUP($B74,DATA!$B$14:$AU$589,6,0)</f>
        <v>Ba Đồn</v>
      </c>
      <c r="D74" s="497" t="str">
        <f>VLOOKUP($B74,DATA!$B$14:$AU$589,36,0)</f>
        <v>Quảng Tân</v>
      </c>
      <c r="E74" s="497">
        <f>VLOOKUP($B74,DATA!$B$14:$AU$589,7,0)</f>
        <v>2018</v>
      </c>
      <c r="F74" s="497">
        <f>VLOOKUP($B74,DATA!$B$14:$AU$589,9,0)</f>
        <v>2020</v>
      </c>
      <c r="G74" s="497" t="str">
        <f>VLOOKUP($B74,DATA!$B$14:$AU$589,12,0)</f>
        <v>3955/QĐ-UBND ngày 31/10/2017</v>
      </c>
      <c r="H74" s="483">
        <f>VLOOKUP($B74,DATA!$B$14:$AU$589,13,0)</f>
        <v>6500</v>
      </c>
      <c r="I74" s="483">
        <f>VLOOKUP($B74,DATA!$B$14:$AU$589,15,0)</f>
        <v>3900</v>
      </c>
      <c r="J74" s="483">
        <f>VLOOKUP($B74,DATA!$B$14:$AU$589,26,0)</f>
        <v>1170</v>
      </c>
      <c r="K74" s="483">
        <f>VLOOKUP($B74,DATA!$B$14:$AU$589,28,0)</f>
        <v>1170</v>
      </c>
      <c r="L74" s="483">
        <f>VLOOKUP($B74,DATA!$B$14:$AU$589,29,0)</f>
        <v>3900</v>
      </c>
      <c r="M74" s="483">
        <f>VLOOKUP($B74,DATA!$B$14:$AU$589,30,0)</f>
        <v>2730</v>
      </c>
      <c r="N74" s="483">
        <f t="shared" ref="N74:N101" si="4">M74*O74/100</f>
        <v>1365</v>
      </c>
      <c r="O74" s="497">
        <v>50</v>
      </c>
      <c r="P74" s="497"/>
      <c r="Q74" s="497" t="str">
        <f>VLOOKUP($B74,DATA!$B$14:$AU$589,33,0)</f>
        <v>Bổ sung ngoài Nghị quyết số 11/2016/Q-HĐND</v>
      </c>
    </row>
    <row r="75" spans="1:17" ht="34.5" customHeight="1">
      <c r="A75" s="484">
        <v>66</v>
      </c>
      <c r="B75" s="498" t="s">
        <v>338</v>
      </c>
      <c r="C75" s="497" t="str">
        <f>VLOOKUP($B75,DATA!$B$14:$AU$589,6,0)</f>
        <v>Lệ Thủy</v>
      </c>
      <c r="D75" s="497" t="str">
        <f>VLOOKUP($B75,DATA!$B$14:$AU$589,36,0)</f>
        <v>Kiến Giang</v>
      </c>
      <c r="E75" s="497">
        <f>VLOOKUP($B75,DATA!$B$14:$AU$589,7,0)</f>
        <v>2018</v>
      </c>
      <c r="F75" s="497">
        <f>VLOOKUP($B75,DATA!$B$14:$AU$589,9,0)</f>
        <v>2020</v>
      </c>
      <c r="G75" s="497" t="str">
        <f>VLOOKUP($B75,DATA!$B$14:$AU$589,12,0)</f>
        <v>3893/QĐ-UBND ngày 30/10/2017</v>
      </c>
      <c r="H75" s="483">
        <f>VLOOKUP($B75,DATA!$B$14:$AU$589,13,0)</f>
        <v>4500</v>
      </c>
      <c r="I75" s="483">
        <f>VLOOKUP($B75,DATA!$B$14:$AU$589,15,0)</f>
        <v>4500</v>
      </c>
      <c r="J75" s="483">
        <f>VLOOKUP($B75,DATA!$B$14:$AU$589,26,0)</f>
        <v>1228</v>
      </c>
      <c r="K75" s="483">
        <f>VLOOKUP($B75,DATA!$B$14:$AU$589,28,0)</f>
        <v>1228</v>
      </c>
      <c r="L75" s="483">
        <f>VLOOKUP($B75,DATA!$B$14:$AU$589,29,0)</f>
        <v>4000</v>
      </c>
      <c r="M75" s="483">
        <f>VLOOKUP($B75,DATA!$B$14:$AU$589,30,0)</f>
        <v>2772</v>
      </c>
      <c r="N75" s="483">
        <f t="shared" si="4"/>
        <v>1386</v>
      </c>
      <c r="O75" s="497">
        <v>50</v>
      </c>
      <c r="P75" s="497"/>
      <c r="Q75" s="497" t="str">
        <f>VLOOKUP($B75,DATA!$B$14:$AU$589,33,0)</f>
        <v>Cập nhật KH 2018-2020, trừ CBĐT</v>
      </c>
    </row>
    <row r="76" spans="1:17" ht="34.5" customHeight="1">
      <c r="A76" s="484">
        <v>67</v>
      </c>
      <c r="B76" s="498" t="s">
        <v>331</v>
      </c>
      <c r="C76" s="497" t="str">
        <f>VLOOKUP($B76,DATA!$B$14:$AU$589,6,0)</f>
        <v>Quảng Trạch</v>
      </c>
      <c r="D76" s="497" t="str">
        <f>VLOOKUP($B76,DATA!$B$14:$AU$589,36,0)</f>
        <v>Phù Hóa</v>
      </c>
      <c r="E76" s="497">
        <f>VLOOKUP($B76,DATA!$B$14:$AU$589,7,0)</f>
        <v>2018</v>
      </c>
      <c r="F76" s="497">
        <f>VLOOKUP($B76,DATA!$B$14:$AU$589,9,0)</f>
        <v>2020</v>
      </c>
      <c r="G76" s="497" t="str">
        <f>VLOOKUP($B76,DATA!$B$14:$AU$589,12,0)</f>
        <v>3845/QĐ-UBND ngày 30/10/2017</v>
      </c>
      <c r="H76" s="483">
        <f>VLOOKUP($B76,DATA!$B$14:$AU$589,13,0)</f>
        <v>4500</v>
      </c>
      <c r="I76" s="483">
        <f>VLOOKUP($B76,DATA!$B$14:$AU$589,15,0)</f>
        <v>4500</v>
      </c>
      <c r="J76" s="483">
        <f>VLOOKUP($B76,DATA!$B$14:$AU$589,26,0)</f>
        <v>1215</v>
      </c>
      <c r="K76" s="483">
        <f>VLOOKUP($B76,DATA!$B$14:$AU$589,28,0)</f>
        <v>1215</v>
      </c>
      <c r="L76" s="483">
        <f>VLOOKUP($B76,DATA!$B$14:$AU$589,29,0)</f>
        <v>4050</v>
      </c>
      <c r="M76" s="483">
        <f>VLOOKUP($B76,DATA!$B$14:$AU$589,30,0)</f>
        <v>2835</v>
      </c>
      <c r="N76" s="483">
        <f t="shared" si="4"/>
        <v>1417.5</v>
      </c>
      <c r="O76" s="497">
        <v>50</v>
      </c>
      <c r="P76" s="497"/>
      <c r="Q76" s="497">
        <f>VLOOKUP($B76,DATA!$B$14:$AU$589,33,0)</f>
        <v>0</v>
      </c>
    </row>
    <row r="77" spans="1:17" ht="34.5" customHeight="1">
      <c r="A77" s="484">
        <v>68</v>
      </c>
      <c r="B77" s="498" t="s">
        <v>323</v>
      </c>
      <c r="C77" s="497" t="str">
        <f>VLOOKUP($B77,DATA!$B$14:$AU$589,6,0)</f>
        <v>Ba Đồn</v>
      </c>
      <c r="D77" s="497" t="str">
        <f>VLOOKUP($B77,DATA!$B$14:$AU$589,36,0)</f>
        <v>Quảng Văn</v>
      </c>
      <c r="E77" s="497">
        <f>VLOOKUP($B77,DATA!$B$14:$AU$589,7,0)</f>
        <v>2018</v>
      </c>
      <c r="F77" s="497">
        <f>VLOOKUP($B77,DATA!$B$14:$AU$589,9,0)</f>
        <v>2020</v>
      </c>
      <c r="G77" s="497" t="str">
        <f>VLOOKUP($B77,DATA!$B$14:$AU$589,12,0)</f>
        <v>3429/QĐ-UBND ngày 29/9/2017</v>
      </c>
      <c r="H77" s="483">
        <f>VLOOKUP($B77,DATA!$B$14:$AU$589,13,0)</f>
        <v>4800</v>
      </c>
      <c r="I77" s="483">
        <f>VLOOKUP($B77,DATA!$B$14:$AU$589,15,0)</f>
        <v>4800</v>
      </c>
      <c r="J77" s="483">
        <f>VLOOKUP($B77,DATA!$B$14:$AU$589,26,0)</f>
        <v>1324</v>
      </c>
      <c r="K77" s="483">
        <f>VLOOKUP($B77,DATA!$B$14:$AU$589,28,0)</f>
        <v>1324</v>
      </c>
      <c r="L77" s="483">
        <f>VLOOKUP($B77,DATA!$B$14:$AU$589,29,0)</f>
        <v>4320</v>
      </c>
      <c r="M77" s="483">
        <f>VLOOKUP($B77,DATA!$B$14:$AU$589,30,0)</f>
        <v>2996</v>
      </c>
      <c r="N77" s="483">
        <f t="shared" si="4"/>
        <v>1498</v>
      </c>
      <c r="O77" s="497">
        <v>50</v>
      </c>
      <c r="P77" s="497"/>
      <c r="Q77" s="497" t="str">
        <f>VLOOKUP($B77,DATA!$B$14:$AU$589,33,0)</f>
        <v>Cập nhật KH 2018-2020, trừ CBĐT</v>
      </c>
    </row>
    <row r="78" spans="1:17" ht="34.5" customHeight="1">
      <c r="A78" s="484">
        <v>69</v>
      </c>
      <c r="B78" s="498" t="s">
        <v>324</v>
      </c>
      <c r="C78" s="497" t="str">
        <f>VLOOKUP($B78,DATA!$B$14:$AU$589,6,0)</f>
        <v>Quảng Trạch</v>
      </c>
      <c r="D78" s="497" t="str">
        <f>VLOOKUP($B78,DATA!$B$14:$AU$589,36,0)</f>
        <v>Quảng Xuân</v>
      </c>
      <c r="E78" s="497">
        <f>VLOOKUP($B78,DATA!$B$14:$AU$589,7,0)</f>
        <v>2018</v>
      </c>
      <c r="F78" s="497">
        <f>VLOOKUP($B78,DATA!$B$14:$AU$589,9,0)</f>
        <v>2020</v>
      </c>
      <c r="G78" s="497" t="str">
        <f>VLOOKUP($B78,DATA!$B$14:$AU$589,12,0)</f>
        <v>3118/QĐ-UBND ngày 05/9/2017</v>
      </c>
      <c r="H78" s="483">
        <f>VLOOKUP($B78,DATA!$B$14:$AU$589,13,0)</f>
        <v>4784</v>
      </c>
      <c r="I78" s="483">
        <f>VLOOKUP($B78,DATA!$B$14:$AU$589,15,0)</f>
        <v>4784</v>
      </c>
      <c r="J78" s="483">
        <f>VLOOKUP($B78,DATA!$B$14:$AU$589,26,0)</f>
        <v>1324</v>
      </c>
      <c r="K78" s="483">
        <f>VLOOKUP($B78,DATA!$B$14:$AU$589,28,0)</f>
        <v>1324</v>
      </c>
      <c r="L78" s="483">
        <f>VLOOKUP($B78,DATA!$B$14:$AU$589,29,0)</f>
        <v>4320</v>
      </c>
      <c r="M78" s="483">
        <f>VLOOKUP($B78,DATA!$B$14:$AU$589,30,0)</f>
        <v>2996</v>
      </c>
      <c r="N78" s="483">
        <f t="shared" si="4"/>
        <v>1498</v>
      </c>
      <c r="O78" s="497">
        <v>50</v>
      </c>
      <c r="P78" s="497"/>
      <c r="Q78" s="497" t="str">
        <f>VLOOKUP($B78,DATA!$B$14:$AU$589,33,0)</f>
        <v>Cập nhật KH 2018-2020, trừ CBĐT</v>
      </c>
    </row>
    <row r="79" spans="1:17" ht="34.5" customHeight="1">
      <c r="A79" s="484">
        <v>70</v>
      </c>
      <c r="B79" s="498" t="s">
        <v>332</v>
      </c>
      <c r="C79" s="497" t="str">
        <f>VLOOKUP($B79,DATA!$B$14:$AU$589,6,0)</f>
        <v>Lệ Thủy</v>
      </c>
      <c r="D79" s="497" t="str">
        <f>VLOOKUP($B79,DATA!$B$14:$AU$589,36,0)</f>
        <v>NT Lệ Ninh</v>
      </c>
      <c r="E79" s="497">
        <f>VLOOKUP($B79,DATA!$B$14:$AU$589,7,0)</f>
        <v>2018</v>
      </c>
      <c r="F79" s="497">
        <f>VLOOKUP($B79,DATA!$B$14:$AU$589,9,0)</f>
        <v>2020</v>
      </c>
      <c r="G79" s="497" t="str">
        <f>VLOOKUP($B79,DATA!$B$14:$AU$589,12,0)</f>
        <v>3397/QĐ-UBND ngày 27/9/2017</v>
      </c>
      <c r="H79" s="483">
        <f>VLOOKUP($B79,DATA!$B$14:$AU$589,13,0)</f>
        <v>4800</v>
      </c>
      <c r="I79" s="483">
        <f>VLOOKUP($B79,DATA!$B$14:$AU$589,15,0)</f>
        <v>4800</v>
      </c>
      <c r="J79" s="483">
        <f>VLOOKUP($B79,DATA!$B$14:$AU$589,26,0)</f>
        <v>1296</v>
      </c>
      <c r="K79" s="483">
        <f>VLOOKUP($B79,DATA!$B$14:$AU$589,28,0)</f>
        <v>1296</v>
      </c>
      <c r="L79" s="483">
        <f>VLOOKUP($B79,DATA!$B$14:$AU$589,29,0)</f>
        <v>4320</v>
      </c>
      <c r="M79" s="483">
        <f>VLOOKUP($B79,DATA!$B$14:$AU$589,30,0)</f>
        <v>3024</v>
      </c>
      <c r="N79" s="483">
        <f t="shared" si="4"/>
        <v>1512</v>
      </c>
      <c r="O79" s="497">
        <v>50</v>
      </c>
      <c r="P79" s="497"/>
      <c r="Q79" s="497">
        <f>VLOOKUP($B79,DATA!$B$14:$AU$589,33,0)</f>
        <v>0</v>
      </c>
    </row>
    <row r="80" spans="1:17" ht="34.5" customHeight="1">
      <c r="A80" s="484">
        <v>71</v>
      </c>
      <c r="B80" s="498" t="s">
        <v>638</v>
      </c>
      <c r="C80" s="497" t="str">
        <f>VLOOKUP($B80,DATA!$B$14:$AU$589,6,0)</f>
        <v>Ba Đồn</v>
      </c>
      <c r="D80" s="497" t="str">
        <f>VLOOKUP($B80,DATA!$B$14:$AU$589,36,0)</f>
        <v>Ba Đồn</v>
      </c>
      <c r="E80" s="497">
        <f>VLOOKUP($B80,DATA!$B$14:$AU$589,7,0)</f>
        <v>2018</v>
      </c>
      <c r="F80" s="497">
        <f>VLOOKUP($B80,DATA!$B$14:$AU$589,9,0)</f>
        <v>2020</v>
      </c>
      <c r="G80" s="497" t="str">
        <f>VLOOKUP($B80,DATA!$B$14:$AU$589,12,0)</f>
        <v>3950/QĐ-UBND ngày 31/10/2017</v>
      </c>
      <c r="H80" s="483">
        <f>VLOOKUP($B80,DATA!$B$14:$AU$589,13,0)</f>
        <v>6000</v>
      </c>
      <c r="I80" s="483">
        <f>VLOOKUP($B80,DATA!$B$14:$AU$589,15,0)</f>
        <v>5000</v>
      </c>
      <c r="J80" s="483">
        <f>VLOOKUP($B80,DATA!$B$14:$AU$589,26,0)</f>
        <v>1392</v>
      </c>
      <c r="K80" s="483">
        <f>VLOOKUP($B80,DATA!$B$14:$AU$589,28,0)</f>
        <v>1392</v>
      </c>
      <c r="L80" s="483">
        <f>VLOOKUP($B80,DATA!$B$14:$AU$589,29,0)</f>
        <v>4500</v>
      </c>
      <c r="M80" s="483">
        <f>VLOOKUP($B80,DATA!$B$14:$AU$589,30,0)</f>
        <v>3108</v>
      </c>
      <c r="N80" s="483">
        <f t="shared" si="4"/>
        <v>1554</v>
      </c>
      <c r="O80" s="497">
        <v>50</v>
      </c>
      <c r="P80" s="497"/>
      <c r="Q80" s="497" t="str">
        <f>VLOOKUP($B80,DATA!$B$14:$AU$589,33,0)</f>
        <v>Cập nhật KH 2018-2020, trừ CBĐT</v>
      </c>
    </row>
    <row r="81" spans="1:17" ht="34.5" customHeight="1">
      <c r="A81" s="484">
        <v>72</v>
      </c>
      <c r="B81" s="498" t="s">
        <v>336</v>
      </c>
      <c r="C81" s="497" t="str">
        <f>VLOOKUP($B81,DATA!$B$14:$AU$589,6,0)</f>
        <v>Ba Đồn</v>
      </c>
      <c r="D81" s="497" t="str">
        <f>VLOOKUP($B81,DATA!$B$14:$AU$589,36,0)</f>
        <v>Quảng Hòa</v>
      </c>
      <c r="E81" s="497">
        <f>VLOOKUP($B81,DATA!$B$14:$AU$589,7,0)</f>
        <v>2018</v>
      </c>
      <c r="F81" s="497">
        <f>VLOOKUP($B81,DATA!$B$14:$AU$589,9,0)</f>
        <v>2020</v>
      </c>
      <c r="G81" s="497" t="str">
        <f>VLOOKUP($B81,DATA!$B$14:$AU$589,12,0)</f>
        <v>3946/QĐ-UBND ngày 31/10/2017</v>
      </c>
      <c r="H81" s="483">
        <f>VLOOKUP($B81,DATA!$B$14:$AU$589,13,0)</f>
        <v>5000</v>
      </c>
      <c r="I81" s="483">
        <f>VLOOKUP($B81,DATA!$B$14:$AU$589,15,0)</f>
        <v>5000</v>
      </c>
      <c r="J81" s="483">
        <f>VLOOKUP($B81,DATA!$B$14:$AU$589,26,0)</f>
        <v>1392</v>
      </c>
      <c r="K81" s="483">
        <f>VLOOKUP($B81,DATA!$B$14:$AU$589,28,0)</f>
        <v>1392</v>
      </c>
      <c r="L81" s="483">
        <f>VLOOKUP($B81,DATA!$B$14:$AU$589,29,0)</f>
        <v>4500</v>
      </c>
      <c r="M81" s="483">
        <f>VLOOKUP($B81,DATA!$B$14:$AU$589,30,0)</f>
        <v>3108</v>
      </c>
      <c r="N81" s="483">
        <f t="shared" si="4"/>
        <v>1554</v>
      </c>
      <c r="O81" s="497">
        <v>50</v>
      </c>
      <c r="P81" s="497"/>
      <c r="Q81" s="497" t="str">
        <f>VLOOKUP($B81,DATA!$B$14:$AU$589,33,0)</f>
        <v>Cập nhật KH 2018-2020, trừ CBĐT</v>
      </c>
    </row>
    <row r="82" spans="1:17" ht="34.5" customHeight="1">
      <c r="A82" s="484">
        <v>73</v>
      </c>
      <c r="B82" s="498" t="s">
        <v>596</v>
      </c>
      <c r="C82" s="497" t="str">
        <f>VLOOKUP($B82,DATA!$B$14:$AU$589,6,0)</f>
        <v>Tuyên Hóa</v>
      </c>
      <c r="D82" s="497" t="str">
        <f>VLOOKUP($B82,DATA!$B$14:$AU$589,36,0)</f>
        <v>Đồng Lê</v>
      </c>
      <c r="E82" s="497">
        <f>VLOOKUP($B82,DATA!$B$14:$AU$589,7,0)</f>
        <v>2018</v>
      </c>
      <c r="F82" s="497">
        <f>VLOOKUP($B82,DATA!$B$14:$AU$589,9,0)</f>
        <v>2020</v>
      </c>
      <c r="G82" s="497" t="str">
        <f>VLOOKUP($B82,DATA!$B$14:$AU$589,12,0)</f>
        <v>3430/QĐ-UBND ngày 29/9/2017</v>
      </c>
      <c r="H82" s="483">
        <f>VLOOKUP($B82,DATA!$B$14:$AU$589,13,0)</f>
        <v>5700</v>
      </c>
      <c r="I82" s="483">
        <f>VLOOKUP($B82,DATA!$B$14:$AU$589,15,0)</f>
        <v>5700</v>
      </c>
      <c r="J82" s="483">
        <f>VLOOKUP($B82,DATA!$B$14:$AU$589,26,0)</f>
        <v>3074</v>
      </c>
      <c r="K82" s="483">
        <f>VLOOKUP($B82,DATA!$B$14:$AU$589,28,0)</f>
        <v>3074</v>
      </c>
      <c r="L82" s="483">
        <f>VLOOKUP($B82,DATA!$B$14:$AU$589,29,0)</f>
        <v>5130</v>
      </c>
      <c r="M82" s="483">
        <f>VLOOKUP($B82,DATA!$B$14:$AU$589,30,0)</f>
        <v>2056</v>
      </c>
      <c r="N82" s="483">
        <f t="shared" si="4"/>
        <v>1028</v>
      </c>
      <c r="O82" s="497">
        <v>50</v>
      </c>
      <c r="P82" s="497"/>
      <c r="Q82" s="497" t="str">
        <f>VLOOKUP($B82,DATA!$B$14:$AU$589,33,0)</f>
        <v>Cập nhật KH 2018-2020, trừ CBĐT</v>
      </c>
    </row>
    <row r="83" spans="1:17" ht="34.5" customHeight="1">
      <c r="A83" s="484">
        <v>74</v>
      </c>
      <c r="B83" s="498" t="s">
        <v>318</v>
      </c>
      <c r="C83" s="497" t="str">
        <f>VLOOKUP($B83,DATA!$B$14:$AU$589,6,0)</f>
        <v>Quảng Ninh</v>
      </c>
      <c r="D83" s="497" t="str">
        <f>VLOOKUP($B83,DATA!$B$14:$AU$589,36,0)</f>
        <v>Quán Hàu</v>
      </c>
      <c r="E83" s="497">
        <f>VLOOKUP($B83,DATA!$B$14:$AU$589,7,0)</f>
        <v>2018</v>
      </c>
      <c r="F83" s="497">
        <f>VLOOKUP($B83,DATA!$B$14:$AU$589,9,0)</f>
        <v>2020</v>
      </c>
      <c r="G83" s="497" t="str">
        <f>VLOOKUP($B83,DATA!$B$14:$AU$589,12,0)</f>
        <v>3962/QĐ-UBND ngày 31/10/2017</v>
      </c>
      <c r="H83" s="483">
        <f>VLOOKUP($B83,DATA!$B$14:$AU$589,13,0)</f>
        <v>6400</v>
      </c>
      <c r="I83" s="483">
        <f>VLOOKUP($B83,DATA!$B$14:$AU$589,15,0)</f>
        <v>6400</v>
      </c>
      <c r="J83" s="483">
        <f>VLOOKUP($B83,DATA!$B$14:$AU$589,26,0)</f>
        <v>1770</v>
      </c>
      <c r="K83" s="483">
        <f>VLOOKUP($B83,DATA!$B$14:$AU$589,28,0)</f>
        <v>1770</v>
      </c>
      <c r="L83" s="483">
        <f>VLOOKUP($B83,DATA!$B$14:$AU$589,29,0)</f>
        <v>5760</v>
      </c>
      <c r="M83" s="483">
        <f>VLOOKUP($B83,DATA!$B$14:$AU$589,30,0)</f>
        <v>3990</v>
      </c>
      <c r="N83" s="483">
        <f t="shared" si="4"/>
        <v>1995</v>
      </c>
      <c r="O83" s="497">
        <v>50</v>
      </c>
      <c r="P83" s="497"/>
      <c r="Q83" s="497" t="str">
        <f>VLOOKUP($B83,DATA!$B$14:$AU$589,33,0)</f>
        <v>Cập nhật KH 2018-2020, trừ CBĐT</v>
      </c>
    </row>
    <row r="84" spans="1:17" ht="34.5" customHeight="1">
      <c r="A84" s="484">
        <v>75</v>
      </c>
      <c r="B84" s="498" t="s">
        <v>460</v>
      </c>
      <c r="C84" s="497" t="str">
        <f>VLOOKUP($B84,DATA!$B$14:$AU$589,6,0)</f>
        <v>Bố Trạch</v>
      </c>
      <c r="D84" s="497" t="str">
        <f>VLOOKUP($B84,DATA!$B$14:$AU$589,36,0)</f>
        <v>Phúc Trạch</v>
      </c>
      <c r="E84" s="497">
        <f>VLOOKUP($B84,DATA!$B$14:$AU$589,7,0)</f>
        <v>2018</v>
      </c>
      <c r="F84" s="497">
        <f>VLOOKUP($B84,DATA!$B$14:$AU$589,9,0)</f>
        <v>2020</v>
      </c>
      <c r="G84" s="497" t="str">
        <f>VLOOKUP($B84,DATA!$B$14:$AU$589,12,0)</f>
        <v>3856/QĐ-UBND ngày 30/10/2017</v>
      </c>
      <c r="H84" s="483">
        <f>VLOOKUP($B84,DATA!$B$14:$AU$589,13,0)</f>
        <v>6500</v>
      </c>
      <c r="I84" s="483">
        <f>VLOOKUP($B84,DATA!$B$14:$AU$589,15,0)</f>
        <v>6500</v>
      </c>
      <c r="J84" s="483">
        <f>VLOOKUP($B84,DATA!$B$14:$AU$589,26,0)</f>
        <v>1797</v>
      </c>
      <c r="K84" s="483">
        <f>VLOOKUP($B84,DATA!$B$14:$AU$589,28,0)</f>
        <v>1797</v>
      </c>
      <c r="L84" s="483">
        <f>VLOOKUP($B84,DATA!$B$14:$AU$589,29,0)</f>
        <v>5850</v>
      </c>
      <c r="M84" s="483">
        <f>VLOOKUP($B84,DATA!$B$14:$AU$589,30,0)</f>
        <v>4053</v>
      </c>
      <c r="N84" s="483">
        <f t="shared" si="4"/>
        <v>2026.5</v>
      </c>
      <c r="O84" s="497">
        <v>50</v>
      </c>
      <c r="P84" s="497"/>
      <c r="Q84" s="497" t="str">
        <f>VLOOKUP($B84,DATA!$B$14:$AU$589,33,0)</f>
        <v>Cập nhật KH 2018-2020, trừ CBĐT</v>
      </c>
    </row>
    <row r="85" spans="1:17" ht="34.5" customHeight="1">
      <c r="A85" s="484">
        <v>76</v>
      </c>
      <c r="B85" s="498" t="s">
        <v>337</v>
      </c>
      <c r="C85" s="497" t="str">
        <f>VLOOKUP($B85,DATA!$B$14:$AU$589,6,0)</f>
        <v>Lệ Thủy</v>
      </c>
      <c r="D85" s="497" t="str">
        <f>VLOOKUP($B85,DATA!$B$14:$AU$589,36,0)</f>
        <v>Kiến Giang</v>
      </c>
      <c r="E85" s="497">
        <f>VLOOKUP($B85,DATA!$B$14:$AU$589,7,0)</f>
        <v>2018</v>
      </c>
      <c r="F85" s="497">
        <f>VLOOKUP($B85,DATA!$B$14:$AU$589,9,0)</f>
        <v>2020</v>
      </c>
      <c r="G85" s="497" t="str">
        <f>VLOOKUP($B85,DATA!$B$14:$AU$589,12,0)</f>
        <v>3002/QĐ-UBND ngày 25/10/2014</v>
      </c>
      <c r="H85" s="483">
        <f>VLOOKUP($B85,DATA!$B$14:$AU$589,13,0)</f>
        <v>26142</v>
      </c>
      <c r="I85" s="483">
        <f>VLOOKUP($B85,DATA!$B$14:$AU$589,15,0)</f>
        <v>10000</v>
      </c>
      <c r="J85" s="483">
        <f>VLOOKUP($B85,DATA!$B$14:$AU$589,26,0)</f>
        <v>3000</v>
      </c>
      <c r="K85" s="483">
        <f>VLOOKUP($B85,DATA!$B$14:$AU$589,28,0)</f>
        <v>3000</v>
      </c>
      <c r="L85" s="483">
        <f>VLOOKUP($B85,DATA!$B$14:$AU$589,29,0)</f>
        <v>10000</v>
      </c>
      <c r="M85" s="483">
        <f>VLOOKUP($B85,DATA!$B$14:$AU$589,30,0)</f>
        <v>7000</v>
      </c>
      <c r="N85" s="483">
        <f t="shared" si="4"/>
        <v>3500</v>
      </c>
      <c r="O85" s="497">
        <v>50</v>
      </c>
      <c r="P85" s="497"/>
      <c r="Q85" s="497">
        <f>VLOOKUP($B85,DATA!$B$14:$AU$589,33,0)</f>
        <v>0</v>
      </c>
    </row>
    <row r="86" spans="1:17" ht="34.5" customHeight="1">
      <c r="A86" s="484">
        <v>77</v>
      </c>
      <c r="B86" s="690" t="s">
        <v>1131</v>
      </c>
      <c r="C86" s="497" t="str">
        <f>VLOOKUP($B86,DATA!$B$14:$AU$589,6,0)</f>
        <v>Quảng Trạch</v>
      </c>
      <c r="D86" s="497" t="str">
        <f>VLOOKUP($B86,DATA!$B$14:$AU$589,36,0)</f>
        <v>Quảng Thạch</v>
      </c>
      <c r="E86" s="497">
        <f>VLOOKUP($B86,DATA!$B$14:$AU$589,7,0)</f>
        <v>2019</v>
      </c>
      <c r="F86" s="497">
        <f>VLOOKUP($B86,DATA!$B$14:$AU$589,9,0)</f>
        <v>2021</v>
      </c>
      <c r="G86" s="497" t="str">
        <f>VLOOKUP($B86,DATA!$B$14:$AU$589,12,0)</f>
        <v>3775/QĐ-UBND ngày 31/10/2018</v>
      </c>
      <c r="H86" s="483">
        <f>VLOOKUP($B86,DATA!$B$14:$AU$589,13,0)</f>
        <v>3000</v>
      </c>
      <c r="I86" s="483">
        <f>VLOOKUP($B86,DATA!$B$14:$AU$589,15,0)</f>
        <v>3000</v>
      </c>
      <c r="J86" s="483">
        <f>VLOOKUP($B86,DATA!$B$14:$AU$589,26,0)</f>
        <v>0</v>
      </c>
      <c r="K86" s="483">
        <f>VLOOKUP($B86,DATA!$B$14:$AU$589,28,0)</f>
        <v>0</v>
      </c>
      <c r="L86" s="483">
        <f>VLOOKUP($B86,DATA!$B$14:$AU$589,29,0)</f>
        <v>1620</v>
      </c>
      <c r="M86" s="483">
        <f>VLOOKUP($B86,DATA!$B$14:$AU$589,30,0)</f>
        <v>1620</v>
      </c>
      <c r="N86" s="483">
        <f t="shared" si="4"/>
        <v>810</v>
      </c>
      <c r="O86" s="497">
        <v>50</v>
      </c>
      <c r="P86" s="497"/>
      <c r="Q86" s="497" t="str">
        <f>VLOOKUP($B86,DATA!$B$14:$AU$589,33,0)</f>
        <v>P.VX
đề xuất NS tỉnh hỗ trợ 100% TMĐT như trong KH trung hạn</v>
      </c>
    </row>
    <row r="87" spans="1:17" ht="34.5" customHeight="1">
      <c r="A87" s="484">
        <v>78</v>
      </c>
      <c r="B87" s="690" t="s">
        <v>1110</v>
      </c>
      <c r="C87" s="497" t="str">
        <f>VLOOKUP($B87,DATA!$B$14:$AU$589,6,0)</f>
        <v>Đồng Hới</v>
      </c>
      <c r="D87" s="497" t="str">
        <f>VLOOKUP($B87,DATA!$B$14:$AU$589,36,0)</f>
        <v>Thuận Đức</v>
      </c>
      <c r="E87" s="497">
        <f>VLOOKUP($B87,DATA!$B$14:$AU$589,7,0)</f>
        <v>2019</v>
      </c>
      <c r="F87" s="497">
        <f>VLOOKUP($B87,DATA!$B$14:$AU$589,9,0)</f>
        <v>2021</v>
      </c>
      <c r="G87" s="497" t="str">
        <f>VLOOKUP($B87,DATA!$B$14:$AU$589,12,0)</f>
        <v>3681/QĐ-UBND ngày 29/10/2018</v>
      </c>
      <c r="H87" s="483">
        <f>VLOOKUP($B87,DATA!$B$14:$AU$589,13,0)</f>
        <v>4000</v>
      </c>
      <c r="I87" s="483">
        <f>VLOOKUP($B87,DATA!$B$14:$AU$589,15,0)</f>
        <v>3000</v>
      </c>
      <c r="J87" s="483">
        <f>VLOOKUP($B87,DATA!$B$14:$AU$589,26,0)</f>
        <v>0</v>
      </c>
      <c r="K87" s="483">
        <f>VLOOKUP($B87,DATA!$B$14:$AU$589,28,0)</f>
        <v>0</v>
      </c>
      <c r="L87" s="483">
        <f>VLOOKUP($B87,DATA!$B$14:$AU$589,29,0)</f>
        <v>1620</v>
      </c>
      <c r="M87" s="483">
        <f>VLOOKUP($B87,DATA!$B$14:$AU$589,30,0)</f>
        <v>1620</v>
      </c>
      <c r="N87" s="483">
        <f t="shared" si="4"/>
        <v>810</v>
      </c>
      <c r="O87" s="497">
        <v>50</v>
      </c>
      <c r="P87" s="497"/>
      <c r="Q87" s="497" t="str">
        <f>VLOOKUP($B87,DATA!$B$14:$AU$589,33,0)</f>
        <v>P.VX
đề xuất bố trí</v>
      </c>
    </row>
    <row r="88" spans="1:17" ht="34.5" customHeight="1">
      <c r="A88" s="484">
        <v>79</v>
      </c>
      <c r="B88" s="690" t="s">
        <v>1125</v>
      </c>
      <c r="C88" s="497" t="str">
        <f>VLOOKUP($B88,DATA!$B$14:$AU$589,6,0)</f>
        <v>Tuyên Hóa</v>
      </c>
      <c r="D88" s="497" t="str">
        <f>VLOOKUP($B88,DATA!$B$14:$AU$589,36,0)</f>
        <v>Đồng Lê</v>
      </c>
      <c r="E88" s="497">
        <f>VLOOKUP($B88,DATA!$B$14:$AU$589,7,0)</f>
        <v>2019</v>
      </c>
      <c r="F88" s="497">
        <f>VLOOKUP($B88,DATA!$B$14:$AU$589,9,0)</f>
        <v>2021</v>
      </c>
      <c r="G88" s="497" t="str">
        <f>VLOOKUP($B88,DATA!$B$14:$AU$589,12,0)</f>
        <v>3625/QĐ-UBND ngày 26/10/2018</v>
      </c>
      <c r="H88" s="483">
        <f>VLOOKUP($B88,DATA!$B$14:$AU$589,13,0)</f>
        <v>2874</v>
      </c>
      <c r="I88" s="483">
        <f>VLOOKUP($B88,DATA!$B$14:$AU$589,15,0)</f>
        <v>2874</v>
      </c>
      <c r="J88" s="483">
        <f>VLOOKUP($B88,DATA!$B$14:$AU$589,26,0)</f>
        <v>0</v>
      </c>
      <c r="K88" s="483">
        <f>VLOOKUP($B88,DATA!$B$14:$AU$589,28,0)</f>
        <v>0</v>
      </c>
      <c r="L88" s="483">
        <f>VLOOKUP($B88,DATA!$B$14:$AU$589,29,0)</f>
        <v>1620</v>
      </c>
      <c r="M88" s="483">
        <f>VLOOKUP($B88,DATA!$B$14:$AU$589,30,0)</f>
        <v>1620</v>
      </c>
      <c r="N88" s="483">
        <f t="shared" si="4"/>
        <v>810</v>
      </c>
      <c r="O88" s="497">
        <v>50</v>
      </c>
      <c r="P88" s="497"/>
      <c r="Q88" s="497">
        <f>VLOOKUP($B88,DATA!$B$14:$AU$589,33,0)</f>
        <v>0</v>
      </c>
    </row>
    <row r="89" spans="1:17" ht="34.5" customHeight="1">
      <c r="A89" s="484">
        <v>80</v>
      </c>
      <c r="B89" s="498" t="s">
        <v>1142</v>
      </c>
      <c r="C89" s="497" t="str">
        <f>VLOOKUP($B89,DATA!$B$14:$AU$589,6,0)</f>
        <v>Bố Trạch</v>
      </c>
      <c r="D89" s="497" t="str">
        <f>VLOOKUP($B89,DATA!$B$14:$AU$589,36,0)</f>
        <v>Sơn Lộc</v>
      </c>
      <c r="E89" s="497">
        <f>VLOOKUP($B89,DATA!$B$14:$AU$589,7,0)</f>
        <v>2019</v>
      </c>
      <c r="F89" s="497">
        <f>VLOOKUP($B89,DATA!$B$14:$AU$589,9,0)</f>
        <v>2021</v>
      </c>
      <c r="G89" s="497" t="str">
        <f>VLOOKUP($B89,DATA!$B$14:$AU$589,12,0)</f>
        <v>3167/QĐ-UBND ngày 24/9/2018</v>
      </c>
      <c r="H89" s="483">
        <f>VLOOKUP($B89,DATA!$B$14:$AU$589,13,0)</f>
        <v>3000</v>
      </c>
      <c r="I89" s="483">
        <f>VLOOKUP($B89,DATA!$B$14:$AU$589,15,0)</f>
        <v>3000</v>
      </c>
      <c r="J89" s="483">
        <f>VLOOKUP($B89,DATA!$B$14:$AU$589,26,0)</f>
        <v>0</v>
      </c>
      <c r="K89" s="483">
        <f>VLOOKUP($B89,DATA!$B$14:$AU$589,28,0)</f>
        <v>0</v>
      </c>
      <c r="L89" s="483">
        <f>VLOOKUP($B89,DATA!$B$14:$AU$589,29,0)</f>
        <v>1620</v>
      </c>
      <c r="M89" s="483">
        <f>VLOOKUP($B89,DATA!$B$14:$AU$589,30,0)</f>
        <v>1620</v>
      </c>
      <c r="N89" s="483">
        <f t="shared" si="4"/>
        <v>810</v>
      </c>
      <c r="O89" s="497">
        <v>50</v>
      </c>
      <c r="P89" s="497"/>
      <c r="Q89" s="497" t="str">
        <f>VLOOKUP($B89,DATA!$B$14:$AU$589,33,0)</f>
        <v>P.VX
đề xuất NS tỉnh hỗ trợ 100% TMĐT như trong KH trung hạn</v>
      </c>
    </row>
    <row r="90" spans="1:17" s="662" customFormat="1" ht="34.5" customHeight="1">
      <c r="A90" s="484">
        <v>81</v>
      </c>
      <c r="B90" s="498" t="s">
        <v>1136</v>
      </c>
      <c r="C90" s="497" t="str">
        <f>VLOOKUP($B90,DATA!$B$14:$AU$589,6,0)</f>
        <v>Quảng Trạch</v>
      </c>
      <c r="D90" s="497" t="str">
        <f>VLOOKUP($B90,DATA!$B$14:$AU$589,36,0)</f>
        <v>Quảng Xuân</v>
      </c>
      <c r="E90" s="497">
        <f>VLOOKUP($B90,DATA!$B$14:$AU$589,7,0)</f>
        <v>2019</v>
      </c>
      <c r="F90" s="497">
        <f>VLOOKUP($B90,DATA!$B$14:$AU$589,9,0)</f>
        <v>2021</v>
      </c>
      <c r="G90" s="497" t="str">
        <f>VLOOKUP($B90,DATA!$B$14:$AU$589,12,0)</f>
        <v>3117/QĐ-UBND ngày 05/9/2017</v>
      </c>
      <c r="H90" s="483">
        <f>VLOOKUP($B90,DATA!$B$14:$AU$589,13,0)</f>
        <v>3000</v>
      </c>
      <c r="I90" s="483">
        <f>VLOOKUP($B90,DATA!$B$14:$AU$589,15,0)</f>
        <v>3000</v>
      </c>
      <c r="J90" s="483">
        <f>VLOOKUP($B90,DATA!$B$14:$AU$589,26,0)</f>
        <v>0</v>
      </c>
      <c r="K90" s="483">
        <f>VLOOKUP($B90,DATA!$B$14:$AU$589,28,0)</f>
        <v>0</v>
      </c>
      <c r="L90" s="483">
        <f>VLOOKUP($B90,DATA!$B$14:$AU$589,29,0)</f>
        <v>1620</v>
      </c>
      <c r="M90" s="483">
        <f>VLOOKUP($B90,DATA!$B$14:$AU$589,30,0)</f>
        <v>1620</v>
      </c>
      <c r="N90" s="483">
        <f t="shared" si="4"/>
        <v>810</v>
      </c>
      <c r="O90" s="497">
        <v>50</v>
      </c>
      <c r="P90" s="497"/>
      <c r="Q90" s="497" t="str">
        <f>VLOOKUP($B90,DATA!$B$14:$AU$589,33,0)</f>
        <v>P.VX
đề xuất NS tỉnh hỗ trợ 100% TMĐT như trong KH trung hạn</v>
      </c>
    </row>
    <row r="91" spans="1:17" ht="34.5" customHeight="1">
      <c r="A91" s="484">
        <v>82</v>
      </c>
      <c r="B91" s="498" t="s">
        <v>1092</v>
      </c>
      <c r="C91" s="497" t="str">
        <f>VLOOKUP($B91,DATA!$B$14:$AU$589,6,0)</f>
        <v>Đồng Hới</v>
      </c>
      <c r="D91" s="497" t="str">
        <f>VLOOKUP($B91,DATA!$B$14:$AU$589,36,0)</f>
        <v>Hải Thành</v>
      </c>
      <c r="E91" s="497">
        <f>VLOOKUP($B91,DATA!$B$14:$AU$589,7,0)</f>
        <v>2019</v>
      </c>
      <c r="F91" s="497">
        <f>VLOOKUP($B91,DATA!$B$14:$AU$589,9,0)</f>
        <v>2021</v>
      </c>
      <c r="G91" s="497" t="str">
        <f>VLOOKUP($B91,DATA!$B$14:$AU$589,12,0)</f>
        <v>3346/QĐ-UBND ngày 09/10/2018</v>
      </c>
      <c r="H91" s="483">
        <f>VLOOKUP($B91,DATA!$B$14:$AU$589,13,0)</f>
        <v>4000</v>
      </c>
      <c r="I91" s="483">
        <f>VLOOKUP($B91,DATA!$B$14:$AU$589,15,0)</f>
        <v>4000</v>
      </c>
      <c r="J91" s="483">
        <f>VLOOKUP($B91,DATA!$B$14:$AU$589,26,0)</f>
        <v>0</v>
      </c>
      <c r="K91" s="483">
        <f>VLOOKUP($B91,DATA!$B$14:$AU$589,28,0)</f>
        <v>0</v>
      </c>
      <c r="L91" s="483">
        <f>VLOOKUP($B91,DATA!$B$14:$AU$589,29,0)</f>
        <v>2160</v>
      </c>
      <c r="M91" s="483">
        <f>VLOOKUP($B91,DATA!$B$14:$AU$589,30,0)</f>
        <v>2160</v>
      </c>
      <c r="N91" s="483">
        <f t="shared" si="4"/>
        <v>1080</v>
      </c>
      <c r="O91" s="497">
        <v>50</v>
      </c>
      <c r="P91" s="497"/>
      <c r="Q91" s="497" t="str">
        <f>VLOOKUP($B91,DATA!$B$14:$AU$589,33,0)</f>
        <v>P.VX
đề xuất bố trí</v>
      </c>
    </row>
    <row r="92" spans="1:17" ht="34.5" customHeight="1">
      <c r="A92" s="484">
        <v>83</v>
      </c>
      <c r="B92" s="498" t="s">
        <v>1146</v>
      </c>
      <c r="C92" s="497" t="str">
        <f>VLOOKUP($B92,DATA!$B$14:$AU$589,6,0)</f>
        <v>Quảng Trạch</v>
      </c>
      <c r="D92" s="497" t="str">
        <f>VLOOKUP($B92,DATA!$B$14:$AU$589,36,0)</f>
        <v>Cảnh Hóa</v>
      </c>
      <c r="E92" s="497">
        <f>VLOOKUP($B92,DATA!$B$14:$AU$589,7,0)</f>
        <v>2019</v>
      </c>
      <c r="F92" s="497">
        <f>VLOOKUP($B92,DATA!$B$14:$AU$589,9,0)</f>
        <v>2021</v>
      </c>
      <c r="G92" s="497" t="str">
        <f>VLOOKUP($B92,DATA!$B$14:$AU$589,12,0)</f>
        <v>3624/QĐ-UBND ngày 26/10/2018</v>
      </c>
      <c r="H92" s="483">
        <f>VLOOKUP($B92,DATA!$B$14:$AU$589,13,0)</f>
        <v>4000</v>
      </c>
      <c r="I92" s="483">
        <f>VLOOKUP($B92,DATA!$B$14:$AU$589,15,0)</f>
        <v>4000</v>
      </c>
      <c r="J92" s="483">
        <f>VLOOKUP($B92,DATA!$B$14:$AU$589,26,0)</f>
        <v>0</v>
      </c>
      <c r="K92" s="483">
        <f>VLOOKUP($B92,DATA!$B$14:$AU$589,28,0)</f>
        <v>0</v>
      </c>
      <c r="L92" s="483">
        <f>VLOOKUP($B92,DATA!$B$14:$AU$589,29,0)</f>
        <v>2160</v>
      </c>
      <c r="M92" s="483">
        <f>VLOOKUP($B92,DATA!$B$14:$AU$589,30,0)</f>
        <v>2160</v>
      </c>
      <c r="N92" s="483">
        <f t="shared" si="4"/>
        <v>1080</v>
      </c>
      <c r="O92" s="497">
        <v>50</v>
      </c>
      <c r="P92" s="497"/>
      <c r="Q92" s="497" t="str">
        <f>VLOOKUP($B92,DATA!$B$14:$AU$589,33,0)</f>
        <v>P.VX
đề xuất NS tỉnh hỗ trợ 100% TMĐT như trong KH trung hạn</v>
      </c>
    </row>
    <row r="93" spans="1:17" ht="34.5" customHeight="1">
      <c r="A93" s="484">
        <v>84</v>
      </c>
      <c r="B93" s="690" t="s">
        <v>1105</v>
      </c>
      <c r="C93" s="497" t="str">
        <f>VLOOKUP($B93,DATA!$B$14:$AU$589,6,0)</f>
        <v>Bố Trạch</v>
      </c>
      <c r="D93" s="497" t="str">
        <f>VLOOKUP($B93,DATA!$B$14:$AU$589,36,0)</f>
        <v>Thanh Trạch</v>
      </c>
      <c r="E93" s="497">
        <f>VLOOKUP($B93,DATA!$B$14:$AU$589,7,0)</f>
        <v>2019</v>
      </c>
      <c r="F93" s="497">
        <f>VLOOKUP($B93,DATA!$B$14:$AU$589,9,0)</f>
        <v>2021</v>
      </c>
      <c r="G93" s="497" t="str">
        <f>VLOOKUP($B93,DATA!$B$14:$AU$589,12,0)</f>
        <v>3679/QĐ-UBND ngày 29/10/2018</v>
      </c>
      <c r="H93" s="483">
        <f>VLOOKUP($B93,DATA!$B$14:$AU$589,13,0)</f>
        <v>5375</v>
      </c>
      <c r="I93" s="483">
        <f>VLOOKUP($B93,DATA!$B$14:$AU$589,15,0)</f>
        <v>2700</v>
      </c>
      <c r="J93" s="483">
        <f>VLOOKUP($B93,DATA!$B$14:$AU$589,26,0)</f>
        <v>0</v>
      </c>
      <c r="K93" s="483">
        <f>VLOOKUP($B93,DATA!$B$14:$AU$589,28,0)</f>
        <v>0</v>
      </c>
      <c r="L93" s="483">
        <f>VLOOKUP($B93,DATA!$B$14:$AU$589,29,0)</f>
        <v>2700</v>
      </c>
      <c r="M93" s="483">
        <f>VLOOKUP($B93,DATA!$B$14:$AU$589,30,0)</f>
        <v>2700</v>
      </c>
      <c r="N93" s="483">
        <f t="shared" si="4"/>
        <v>1350</v>
      </c>
      <c r="O93" s="497">
        <v>50</v>
      </c>
      <c r="P93" s="497"/>
      <c r="Q93" s="497">
        <f>VLOOKUP($B93,DATA!$B$14:$AU$589,33,0)</f>
        <v>0</v>
      </c>
    </row>
    <row r="94" spans="1:17" ht="34.5" customHeight="1">
      <c r="A94" s="484">
        <v>85</v>
      </c>
      <c r="B94" s="690" t="s">
        <v>1118</v>
      </c>
      <c r="C94" s="497" t="str">
        <f>VLOOKUP($B94,DATA!$B$14:$AU$589,6,0)</f>
        <v>Lệ Thủy</v>
      </c>
      <c r="D94" s="497" t="str">
        <f>VLOOKUP($B94,DATA!$B$14:$AU$589,36,0)</f>
        <v>Thanh Thủy</v>
      </c>
      <c r="E94" s="497">
        <f>VLOOKUP($B94,DATA!$B$14:$AU$589,7,0)</f>
        <v>2019</v>
      </c>
      <c r="F94" s="497">
        <f>VLOOKUP($B94,DATA!$B$14:$AU$589,9,0)</f>
        <v>2021</v>
      </c>
      <c r="G94" s="497" t="str">
        <f>VLOOKUP($B94,DATA!$B$14:$AU$589,12,0)</f>
        <v>3445/QĐ-UBND ngày 17/10/2018</v>
      </c>
      <c r="H94" s="483">
        <f>VLOOKUP($B94,DATA!$B$14:$AU$589,13,0)</f>
        <v>5500</v>
      </c>
      <c r="I94" s="483">
        <f>VLOOKUP($B94,DATA!$B$14:$AU$589,15,0)</f>
        <v>5500</v>
      </c>
      <c r="J94" s="483">
        <f>VLOOKUP($B94,DATA!$B$14:$AU$589,26,0)</f>
        <v>0</v>
      </c>
      <c r="K94" s="483">
        <f>VLOOKUP($B94,DATA!$B$14:$AU$589,28,0)</f>
        <v>0</v>
      </c>
      <c r="L94" s="483">
        <f>VLOOKUP($B94,DATA!$B$14:$AU$589,29,0)</f>
        <v>2970</v>
      </c>
      <c r="M94" s="483">
        <f>VLOOKUP($B94,DATA!$B$14:$AU$589,30,0)</f>
        <v>2970</v>
      </c>
      <c r="N94" s="483">
        <f t="shared" si="4"/>
        <v>1485</v>
      </c>
      <c r="O94" s="497">
        <v>50</v>
      </c>
      <c r="P94" s="497"/>
      <c r="Q94" s="497">
        <f>VLOOKUP($B94,DATA!$B$14:$AU$589,33,0)</f>
        <v>0</v>
      </c>
    </row>
    <row r="95" spans="1:17" ht="34.5" customHeight="1">
      <c r="A95" s="484">
        <v>86</v>
      </c>
      <c r="B95" s="690" t="s">
        <v>1114</v>
      </c>
      <c r="C95" s="497" t="str">
        <f>VLOOKUP($B95,DATA!$B$14:$AU$589,6,0)</f>
        <v>Bố Trạch</v>
      </c>
      <c r="D95" s="497" t="str">
        <f>VLOOKUP($B95,DATA!$B$14:$AU$589,36,0)</f>
        <v>Vạn Trạch</v>
      </c>
      <c r="E95" s="497">
        <f>VLOOKUP($B95,DATA!$B$14:$AU$589,7,0)</f>
        <v>2019</v>
      </c>
      <c r="F95" s="497">
        <f>VLOOKUP($B95,DATA!$B$14:$AU$589,9,0)</f>
        <v>2021</v>
      </c>
      <c r="G95" s="497" t="str">
        <f>VLOOKUP($B95,DATA!$B$14:$AU$589,12,0)</f>
        <v>3818/QD-UBND ngày 31/10/2018</v>
      </c>
      <c r="H95" s="483">
        <f>VLOOKUP($B95,DATA!$B$14:$AU$589,13,0)</f>
        <v>5000</v>
      </c>
      <c r="I95" s="483">
        <f>VLOOKUP($B95,DATA!$B$14:$AU$589,15,0)</f>
        <v>3000</v>
      </c>
      <c r="J95" s="483">
        <f>VLOOKUP($B95,DATA!$B$14:$AU$589,26,0)</f>
        <v>0</v>
      </c>
      <c r="K95" s="483">
        <f>VLOOKUP($B95,DATA!$B$14:$AU$589,28,0)</f>
        <v>0</v>
      </c>
      <c r="L95" s="483">
        <f>VLOOKUP($B95,DATA!$B$14:$AU$589,29,0)</f>
        <v>1620</v>
      </c>
      <c r="M95" s="483">
        <f>VLOOKUP($B95,DATA!$B$14:$AU$589,30,0)</f>
        <v>1620</v>
      </c>
      <c r="N95" s="483">
        <f t="shared" si="4"/>
        <v>810</v>
      </c>
      <c r="O95" s="497">
        <v>50</v>
      </c>
      <c r="P95" s="497"/>
      <c r="Q95" s="497" t="str">
        <f>VLOOKUP($B95,DATA!$B$14:$AU$589,33,0)</f>
        <v>P.VX
đề xuất bố trí</v>
      </c>
    </row>
    <row r="96" spans="1:17" ht="34.5" customHeight="1">
      <c r="A96" s="484">
        <v>87</v>
      </c>
      <c r="B96" s="498" t="s">
        <v>1139</v>
      </c>
      <c r="C96" s="497" t="str">
        <f>VLOOKUP($B96,DATA!$B$14:$AU$589,6,0)</f>
        <v>Tuyên Hóa</v>
      </c>
      <c r="D96" s="497" t="str">
        <f>VLOOKUP($B96,DATA!$B$14:$AU$589,36,0)</f>
        <v>Kim Hóa</v>
      </c>
      <c r="E96" s="497">
        <f>VLOOKUP($B96,DATA!$B$14:$AU$589,7,0)</f>
        <v>2019</v>
      </c>
      <c r="F96" s="497">
        <f>VLOOKUP($B96,DATA!$B$14:$AU$589,9,0)</f>
        <v>2021</v>
      </c>
      <c r="G96" s="497" t="str">
        <f>VLOOKUP($B96,DATA!$B$14:$AU$589,12,0)</f>
        <v>3825/QĐ-UBND ngày 31/10/2018</v>
      </c>
      <c r="H96" s="483">
        <f>VLOOKUP($B96,DATA!$B$14:$AU$589,13,0)</f>
        <v>3000</v>
      </c>
      <c r="I96" s="483">
        <f>VLOOKUP($B96,DATA!$B$14:$AU$589,15,0)</f>
        <v>3000</v>
      </c>
      <c r="J96" s="483">
        <f>VLOOKUP($B96,DATA!$B$14:$AU$589,26,0)</f>
        <v>0</v>
      </c>
      <c r="K96" s="483">
        <f>VLOOKUP($B96,DATA!$B$14:$AU$589,28,0)</f>
        <v>0</v>
      </c>
      <c r="L96" s="483">
        <f>VLOOKUP($B96,DATA!$B$14:$AU$589,29,0)</f>
        <v>1620</v>
      </c>
      <c r="M96" s="483">
        <f>VLOOKUP($B96,DATA!$B$14:$AU$589,30,0)</f>
        <v>1620</v>
      </c>
      <c r="N96" s="483">
        <f t="shared" si="4"/>
        <v>810</v>
      </c>
      <c r="O96" s="497">
        <v>50</v>
      </c>
      <c r="P96" s="497"/>
      <c r="Q96" s="497" t="str">
        <f>VLOOKUP($B96,DATA!$B$14:$AU$589,33,0)</f>
        <v>P.VX
đề xuất NS tỉnh hỗ trợ 100% TMĐT như trong KH trung hạn</v>
      </c>
    </row>
    <row r="97" spans="1:17" ht="34.5" customHeight="1">
      <c r="A97" s="484">
        <v>88</v>
      </c>
      <c r="B97" s="498" t="s">
        <v>1150</v>
      </c>
      <c r="C97" s="497" t="str">
        <f>VLOOKUP($B97,DATA!$B$14:$AU$589,6,0)</f>
        <v>Quảng Trạch</v>
      </c>
      <c r="D97" s="497" t="str">
        <f>VLOOKUP($B97,DATA!$B$14:$AU$589,36,0)</f>
        <v>Quảng Xuân</v>
      </c>
      <c r="E97" s="497">
        <f>VLOOKUP($B97,DATA!$B$14:$AU$589,7,0)</f>
        <v>2019</v>
      </c>
      <c r="F97" s="497">
        <f>VLOOKUP($B97,DATA!$B$14:$AU$589,9,0)</f>
        <v>2021</v>
      </c>
      <c r="G97" s="497" t="str">
        <f>VLOOKUP($B97,DATA!$B$14:$AU$589,12,0)</f>
        <v>3716/QĐ-UBND ngày 30/10/2018</v>
      </c>
      <c r="H97" s="483">
        <f>VLOOKUP($B97,DATA!$B$14:$AU$589,13,0)</f>
        <v>3000</v>
      </c>
      <c r="I97" s="483">
        <f>VLOOKUP($B97,DATA!$B$14:$AU$589,15,0)</f>
        <v>3000</v>
      </c>
      <c r="J97" s="483">
        <f>VLOOKUP($B97,DATA!$B$14:$AU$589,26,0)</f>
        <v>0</v>
      </c>
      <c r="K97" s="483">
        <f>VLOOKUP($B97,DATA!$B$14:$AU$589,28,0)</f>
        <v>0</v>
      </c>
      <c r="L97" s="483">
        <f>VLOOKUP($B97,DATA!$B$14:$AU$589,29,0)</f>
        <v>1620</v>
      </c>
      <c r="M97" s="483">
        <f>VLOOKUP($B97,DATA!$B$14:$AU$589,30,0)</f>
        <v>1620</v>
      </c>
      <c r="N97" s="483">
        <f t="shared" si="4"/>
        <v>810</v>
      </c>
      <c r="O97" s="497">
        <v>50</v>
      </c>
      <c r="P97" s="497"/>
      <c r="Q97" s="497" t="str">
        <f>VLOOKUP($B97,DATA!$B$14:$AU$589,33,0)</f>
        <v>P.VX
đề xuất NS tỉnh hỗ trợ 100% TMĐT như trong KH trung hạn</v>
      </c>
    </row>
    <row r="98" spans="1:17" ht="34.5" customHeight="1">
      <c r="A98" s="484">
        <v>89</v>
      </c>
      <c r="B98" s="498" t="s">
        <v>1152</v>
      </c>
      <c r="C98" s="497" t="str">
        <f>VLOOKUP($B98,DATA!$B$14:$AU$589,6,0)</f>
        <v>Lệ Thủy</v>
      </c>
      <c r="D98" s="497" t="str">
        <f>VLOOKUP($B98,DATA!$B$14:$AU$589,36,0)</f>
        <v>Xuân Thủy</v>
      </c>
      <c r="E98" s="497">
        <f>VLOOKUP($B98,DATA!$B$14:$AU$589,7,0)</f>
        <v>2019</v>
      </c>
      <c r="F98" s="497">
        <f>VLOOKUP($B98,DATA!$B$14:$AU$589,9,0)</f>
        <v>2021</v>
      </c>
      <c r="G98" s="497" t="str">
        <f>VLOOKUP($B98,DATA!$B$14:$AU$589,12,0)</f>
        <v>3857a/QĐ-UBND ngày 31/10/2018</v>
      </c>
      <c r="H98" s="483">
        <f>VLOOKUP($B98,DATA!$B$14:$AU$589,13,0)</f>
        <v>3200</v>
      </c>
      <c r="I98" s="483">
        <f>VLOOKUP($B98,DATA!$B$14:$AU$589,15,0)</f>
        <v>3200</v>
      </c>
      <c r="J98" s="483">
        <f>VLOOKUP($B98,DATA!$B$14:$AU$589,26,0)</f>
        <v>0</v>
      </c>
      <c r="K98" s="483">
        <f>VLOOKUP($B98,DATA!$B$14:$AU$589,28,0)</f>
        <v>0</v>
      </c>
      <c r="L98" s="483">
        <f>VLOOKUP($B98,DATA!$B$14:$AU$589,29,0)</f>
        <v>1728</v>
      </c>
      <c r="M98" s="483">
        <f>VLOOKUP($B98,DATA!$B$14:$AU$589,30,0)</f>
        <v>1728</v>
      </c>
      <c r="N98" s="483">
        <f t="shared" si="4"/>
        <v>864</v>
      </c>
      <c r="O98" s="497">
        <v>50</v>
      </c>
      <c r="P98" s="497"/>
      <c r="Q98" s="497" t="str">
        <f>VLOOKUP($B98,DATA!$B$14:$AU$589,33,0)</f>
        <v>P.VX
đề xuất NS tỉnh hỗ trợ 100% TMĐT như trong KH trung hạn</v>
      </c>
    </row>
    <row r="99" spans="1:17" ht="34.5" customHeight="1">
      <c r="A99" s="484">
        <v>90</v>
      </c>
      <c r="B99" s="690" t="s">
        <v>1129</v>
      </c>
      <c r="C99" s="497" t="str">
        <f>VLOOKUP($B99,DATA!$B$14:$AU$589,6,0)</f>
        <v>Lệ Thủy</v>
      </c>
      <c r="D99" s="497" t="str">
        <f>VLOOKUP($B99,DATA!$B$14:$AU$589,36,0)</f>
        <v>Cam Thủy</v>
      </c>
      <c r="E99" s="497">
        <f>VLOOKUP($B99,DATA!$B$14:$AU$589,7,0)</f>
        <v>2019</v>
      </c>
      <c r="F99" s="497">
        <f>VLOOKUP($B99,DATA!$B$14:$AU$589,9,0)</f>
        <v>2021</v>
      </c>
      <c r="G99" s="497" t="str">
        <f>VLOOKUP($B99,DATA!$B$14:$AU$589,12,0)</f>
        <v>3827/QĐ-UBND ngày 31/10/2018</v>
      </c>
      <c r="H99" s="483">
        <f>VLOOKUP($B99,DATA!$B$14:$AU$589,13,0)</f>
        <v>4000</v>
      </c>
      <c r="I99" s="483">
        <f>VLOOKUP($B99,DATA!$B$14:$AU$589,15,0)</f>
        <v>2400</v>
      </c>
      <c r="J99" s="483">
        <f>VLOOKUP($B99,DATA!$B$14:$AU$589,26,0)</f>
        <v>0</v>
      </c>
      <c r="K99" s="483">
        <f>VLOOKUP($B99,DATA!$B$14:$AU$589,28,0)</f>
        <v>0</v>
      </c>
      <c r="L99" s="483">
        <f>VLOOKUP($B99,DATA!$B$14:$AU$589,29,0)</f>
        <v>2160</v>
      </c>
      <c r="M99" s="483">
        <f>VLOOKUP($B99,DATA!$B$14:$AU$589,30,0)</f>
        <v>2160</v>
      </c>
      <c r="N99" s="483">
        <f t="shared" si="4"/>
        <v>1080</v>
      </c>
      <c r="O99" s="497">
        <v>50</v>
      </c>
      <c r="P99" s="497"/>
      <c r="Q99" s="497">
        <f>VLOOKUP($B99,DATA!$B$14:$AU$589,33,0)</f>
        <v>0</v>
      </c>
    </row>
    <row r="100" spans="1:17" ht="34.5" customHeight="1">
      <c r="A100" s="484">
        <v>91</v>
      </c>
      <c r="B100" s="690" t="s">
        <v>2070</v>
      </c>
      <c r="C100" s="497" t="str">
        <f>VLOOKUP($B100,DATA!$B$14:$AU$589,6,0)</f>
        <v>Minh Hóa</v>
      </c>
      <c r="D100" s="497" t="str">
        <f>VLOOKUP($B100,DATA!$B$14:$AU$589,36,0)</f>
        <v>Quy Đạt</v>
      </c>
      <c r="E100" s="497">
        <f>VLOOKUP($B100,DATA!$B$14:$AU$589,7,0)</f>
        <v>2019</v>
      </c>
      <c r="F100" s="497">
        <f>VLOOKUP($B100,DATA!$B$14:$AU$589,9,0)</f>
        <v>2021</v>
      </c>
      <c r="G100" s="497" t="str">
        <f>VLOOKUP($B100,DATA!$B$14:$AU$589,12,0)</f>
        <v>3766/QĐ-UBND ngày 31/10/2018</v>
      </c>
      <c r="H100" s="483">
        <f>VLOOKUP($B100,DATA!$B$14:$AU$589,13,0)</f>
        <v>5000</v>
      </c>
      <c r="I100" s="483">
        <f>VLOOKUP($B100,DATA!$B$14:$AU$589,15,0)</f>
        <v>5000</v>
      </c>
      <c r="J100" s="483">
        <f>VLOOKUP($B100,DATA!$B$14:$AU$589,26,0)</f>
        <v>0</v>
      </c>
      <c r="K100" s="483">
        <f>VLOOKUP($B100,DATA!$B$14:$AU$589,28,0)</f>
        <v>0</v>
      </c>
      <c r="L100" s="483">
        <f>VLOOKUP($B100,DATA!$B$14:$AU$589,29,0)</f>
        <v>2700</v>
      </c>
      <c r="M100" s="483">
        <f>VLOOKUP($B100,DATA!$B$14:$AU$589,30,0)</f>
        <v>2700</v>
      </c>
      <c r="N100" s="483">
        <f t="shared" si="4"/>
        <v>1350</v>
      </c>
      <c r="O100" s="497">
        <v>50</v>
      </c>
      <c r="P100" s="497"/>
      <c r="Q100" s="497">
        <f>VLOOKUP($B100,DATA!$B$14:$AU$589,33,0)</f>
        <v>0</v>
      </c>
    </row>
    <row r="101" spans="1:17" ht="34.5" customHeight="1">
      <c r="A101" s="484">
        <v>92</v>
      </c>
      <c r="B101" s="690" t="s">
        <v>1133</v>
      </c>
      <c r="C101" s="497" t="str">
        <f>VLOOKUP($B101,DATA!$B$14:$AU$589,6,0)</f>
        <v>Bố Trạch</v>
      </c>
      <c r="D101" s="497" t="str">
        <f>VLOOKUP($B101,DATA!$B$14:$AU$589,36,0)</f>
        <v>Hoàn Lão</v>
      </c>
      <c r="E101" s="497">
        <f>VLOOKUP($B101,DATA!$B$14:$AU$589,7,0)</f>
        <v>2019</v>
      </c>
      <c r="F101" s="497">
        <f>VLOOKUP($B101,DATA!$B$14:$AU$589,9,0)</f>
        <v>2021</v>
      </c>
      <c r="G101" s="497" t="str">
        <f>VLOOKUP($B101,DATA!$B$14:$AU$589,12,0)</f>
        <v>3765/QĐ-UBND ngày 31/10/2018</v>
      </c>
      <c r="H101" s="483">
        <f>VLOOKUP($B101,DATA!$B$14:$AU$589,13,0)</f>
        <v>5500</v>
      </c>
      <c r="I101" s="483">
        <f>VLOOKUP($B101,DATA!$B$14:$AU$589,15,0)</f>
        <v>5500</v>
      </c>
      <c r="J101" s="483">
        <f>VLOOKUP($B101,DATA!$B$14:$AU$589,26,0)</f>
        <v>0</v>
      </c>
      <c r="K101" s="483">
        <f>VLOOKUP($B101,DATA!$B$14:$AU$589,28,0)</f>
        <v>0</v>
      </c>
      <c r="L101" s="483">
        <f>VLOOKUP($B101,DATA!$B$14:$AU$589,29,0)</f>
        <v>2970</v>
      </c>
      <c r="M101" s="483">
        <f>VLOOKUP($B101,DATA!$B$14:$AU$589,30,0)</f>
        <v>2970</v>
      </c>
      <c r="N101" s="483">
        <f t="shared" si="4"/>
        <v>1485</v>
      </c>
      <c r="O101" s="497">
        <v>50</v>
      </c>
      <c r="P101" s="497"/>
      <c r="Q101" s="497">
        <f>VLOOKUP($B101,DATA!$B$14:$AU$589,33,0)</f>
        <v>0</v>
      </c>
    </row>
    <row r="102" spans="1:17" s="662" customFormat="1" ht="34.5" customHeight="1">
      <c r="A102" s="732" t="s">
        <v>472</v>
      </c>
      <c r="B102" s="733" t="s">
        <v>1626</v>
      </c>
      <c r="C102" s="732"/>
      <c r="D102" s="732"/>
      <c r="E102" s="732"/>
      <c r="F102" s="732"/>
      <c r="G102" s="732"/>
      <c r="H102" s="729">
        <f t="shared" ref="H102:N102" si="5">SUBTOTAL(109,H103:H105)</f>
        <v>13500</v>
      </c>
      <c r="I102" s="729">
        <f t="shared" si="5"/>
        <v>13500</v>
      </c>
      <c r="J102" s="729">
        <f t="shared" si="5"/>
        <v>0</v>
      </c>
      <c r="K102" s="729">
        <f t="shared" si="5"/>
        <v>0</v>
      </c>
      <c r="L102" s="729">
        <f t="shared" si="5"/>
        <v>8100</v>
      </c>
      <c r="M102" s="729">
        <f t="shared" si="5"/>
        <v>8100</v>
      </c>
      <c r="N102" s="729">
        <f t="shared" si="5"/>
        <v>4050</v>
      </c>
      <c r="O102" s="729"/>
      <c r="P102" s="729"/>
      <c r="Q102" s="729"/>
    </row>
    <row r="103" spans="1:17" s="741" customFormat="1" ht="34.5" customHeight="1">
      <c r="A103" s="740">
        <v>1</v>
      </c>
      <c r="B103" s="710" t="s">
        <v>1102</v>
      </c>
      <c r="C103" s="708" t="str">
        <f>VLOOKUP($B103,DATA!$B$14:$AU$589,6,0)</f>
        <v>Ba Đồn</v>
      </c>
      <c r="D103" s="708" t="str">
        <f>VLOOKUP($B103,DATA!$B$14:$AU$589,36,0)</f>
        <v>Quảng Sơn</v>
      </c>
      <c r="E103" s="708">
        <f>VLOOKUP($B103,DATA!$B$14:$AU$589,7,0)</f>
        <v>2019</v>
      </c>
      <c r="F103" s="708">
        <f>VLOOKUP($B103,DATA!$B$14:$AU$589,9,0)</f>
        <v>2021</v>
      </c>
      <c r="G103" s="708" t="str">
        <f>VLOOKUP($B103,DATA!$B$14:$AU$589,12,0)</f>
        <v>3804/QĐ-UBND ngày 31/10/2018</v>
      </c>
      <c r="H103" s="709">
        <f>VLOOKUP($B103,DATA!$B$14:$AU$589,13,0)</f>
        <v>4000</v>
      </c>
      <c r="I103" s="709">
        <f>VLOOKUP($B103,DATA!$B$14:$AU$589,15,0)</f>
        <v>4000</v>
      </c>
      <c r="J103" s="709">
        <f>VLOOKUP($B103,DATA!$B$14:$AU$589,26,0)</f>
        <v>0</v>
      </c>
      <c r="K103" s="709">
        <f>VLOOKUP($B103,DATA!$B$14:$AU$589,28,0)</f>
        <v>0</v>
      </c>
      <c r="L103" s="709">
        <f>VLOOKUP($B103,DATA!$B$14:$AU$589,29,0)</f>
        <v>2400</v>
      </c>
      <c r="M103" s="709">
        <f>VLOOKUP($B103,DATA!$B$14:$AU$589,30,0)</f>
        <v>2400</v>
      </c>
      <c r="N103" s="709">
        <f t="shared" ref="N103:N104" si="6">M103*O103/100</f>
        <v>1200</v>
      </c>
      <c r="O103" s="708">
        <v>50</v>
      </c>
      <c r="P103" s="708" t="s">
        <v>2105</v>
      </c>
      <c r="Q103" s="708" t="str">
        <f>VLOOKUP($B103,DATA!$B$14:$AU$589,33,0)</f>
        <v>Điều chỉnh năm khởi công từ 2020 thành 2019</v>
      </c>
    </row>
    <row r="104" spans="1:17" s="741" customFormat="1" ht="34.5" customHeight="1">
      <c r="A104" s="740">
        <v>2</v>
      </c>
      <c r="B104" s="710" t="s">
        <v>1832</v>
      </c>
      <c r="C104" s="708" t="str">
        <f>VLOOKUP($B104,DATA!$B$14:$AU$589,6,0)</f>
        <v>Ba Đồn</v>
      </c>
      <c r="D104" s="708" t="str">
        <f>VLOOKUP($B104,DATA!$B$14:$AU$589,36,0)</f>
        <v>Quảng Hải</v>
      </c>
      <c r="E104" s="708">
        <f>VLOOKUP($B104,DATA!$B$14:$AU$589,7,0)</f>
        <v>2019</v>
      </c>
      <c r="F104" s="708">
        <f>VLOOKUP($B104,DATA!$B$14:$AU$589,9,0)</f>
        <v>2021</v>
      </c>
      <c r="G104" s="708" t="str">
        <f>VLOOKUP($B104,DATA!$B$14:$AU$589,12,0)</f>
        <v>3786/QĐ-UBND ngày 31/10/2018</v>
      </c>
      <c r="H104" s="709">
        <f>VLOOKUP($B104,DATA!$B$14:$AU$589,13,0)</f>
        <v>4000</v>
      </c>
      <c r="I104" s="709">
        <f>VLOOKUP($B104,DATA!$B$14:$AU$589,15,0)</f>
        <v>4000</v>
      </c>
      <c r="J104" s="709">
        <f>VLOOKUP($B104,DATA!$B$14:$AU$589,26,0)</f>
        <v>0</v>
      </c>
      <c r="K104" s="709">
        <f>VLOOKUP($B104,DATA!$B$14:$AU$589,28,0)</f>
        <v>0</v>
      </c>
      <c r="L104" s="709">
        <f>VLOOKUP($B104,DATA!$B$14:$AU$589,29,0)</f>
        <v>2400</v>
      </c>
      <c r="M104" s="709">
        <f>VLOOKUP($B104,DATA!$B$14:$AU$589,30,0)</f>
        <v>2400</v>
      </c>
      <c r="N104" s="709">
        <f t="shared" si="6"/>
        <v>1200</v>
      </c>
      <c r="O104" s="708">
        <v>50</v>
      </c>
      <c r="P104" s="708" t="s">
        <v>2105</v>
      </c>
      <c r="Q104" s="708"/>
    </row>
    <row r="105" spans="1:17" ht="34.5" customHeight="1">
      <c r="A105" s="482">
        <v>3</v>
      </c>
      <c r="B105" s="490" t="s">
        <v>1169</v>
      </c>
      <c r="C105" s="497" t="str">
        <f>VLOOKUP($B105,DATA!$B$14:$AU$589,6,0)</f>
        <v>Lệ Thủy</v>
      </c>
      <c r="D105" s="497" t="str">
        <f>VLOOKUP($B105,DATA!$B$14:$AU$589,36,0)</f>
        <v>Hưng Thủy</v>
      </c>
      <c r="E105" s="497">
        <f>VLOOKUP($B105,DATA!$B$14:$AU$589,7,0)</f>
        <v>2019</v>
      </c>
      <c r="F105" s="497">
        <f>VLOOKUP($B105,DATA!$B$14:$AU$589,9,0)</f>
        <v>2021</v>
      </c>
      <c r="G105" s="497" t="str">
        <f>VLOOKUP($B105,DATA!$B$14:$AU$589,12,0)</f>
        <v>3891/QĐ-UBND ngày 31/10/2018</v>
      </c>
      <c r="H105" s="483">
        <f>VLOOKUP($B105,DATA!$B$14:$AU$589,13,0)</f>
        <v>5500</v>
      </c>
      <c r="I105" s="483">
        <f>VLOOKUP($B105,DATA!$B$14:$AU$589,15,0)</f>
        <v>5500</v>
      </c>
      <c r="J105" s="483">
        <f>VLOOKUP($B105,DATA!$B$14:$AU$589,26,0)</f>
        <v>0</v>
      </c>
      <c r="K105" s="483">
        <f>VLOOKUP($B105,DATA!$B$14:$AU$589,28,0)</f>
        <v>0</v>
      </c>
      <c r="L105" s="483">
        <f>VLOOKUP($B105,DATA!$B$14:$AU$589,29,0)</f>
        <v>3300</v>
      </c>
      <c r="M105" s="483">
        <f>VLOOKUP($B105,DATA!$B$14:$AU$589,30,0)</f>
        <v>3300</v>
      </c>
      <c r="N105" s="483">
        <f>M105*O105/100</f>
        <v>1650</v>
      </c>
      <c r="O105" s="497">
        <v>50</v>
      </c>
      <c r="P105" s="515" t="s">
        <v>1629</v>
      </c>
      <c r="Q105" s="497">
        <f>VLOOKUP($B105,DATA!$B$14:$AU$589,33,0)</f>
        <v>0</v>
      </c>
    </row>
    <row r="106" spans="1:17" s="662" customFormat="1" ht="34.5" customHeight="1">
      <c r="A106" s="732" t="s">
        <v>477</v>
      </c>
      <c r="B106" s="733" t="s">
        <v>1627</v>
      </c>
      <c r="C106" s="732"/>
      <c r="D106" s="732"/>
      <c r="E106" s="732"/>
      <c r="F106" s="732"/>
      <c r="G106" s="732"/>
      <c r="H106" s="729">
        <f t="shared" ref="H106:N106" si="7">SUBTOTAL(109,H107:H113)</f>
        <v>36500</v>
      </c>
      <c r="I106" s="729">
        <f t="shared" si="7"/>
        <v>30900</v>
      </c>
      <c r="J106" s="729">
        <f t="shared" si="7"/>
        <v>0</v>
      </c>
      <c r="K106" s="729">
        <f t="shared" si="7"/>
        <v>0</v>
      </c>
      <c r="L106" s="729">
        <f t="shared" si="7"/>
        <v>19620</v>
      </c>
      <c r="M106" s="729">
        <f t="shared" si="7"/>
        <v>19620</v>
      </c>
      <c r="N106" s="729">
        <f t="shared" si="7"/>
        <v>9810</v>
      </c>
      <c r="O106" s="729"/>
      <c r="P106" s="729"/>
      <c r="Q106" s="729"/>
    </row>
    <row r="107" spans="1:17" ht="34.5" customHeight="1">
      <c r="A107" s="482">
        <v>1</v>
      </c>
      <c r="B107" s="491" t="s">
        <v>1097</v>
      </c>
      <c r="C107" s="497" t="str">
        <f>VLOOKUP($B107,DATA!$B$14:$AU$589,6,0)</f>
        <v>Quảng Ninh</v>
      </c>
      <c r="D107" s="497" t="str">
        <f>VLOOKUP($B107,DATA!$B$14:$AU$589,36,0)</f>
        <v>An Ninh</v>
      </c>
      <c r="E107" s="497">
        <f>VLOOKUP($B107,DATA!$B$14:$AU$589,7,0)</f>
        <v>2018</v>
      </c>
      <c r="F107" s="497">
        <f>VLOOKUP($B107,DATA!$B$14:$AU$589,9,0)</f>
        <v>2020</v>
      </c>
      <c r="G107" s="497" t="str">
        <f>VLOOKUP($B107,DATA!$B$14:$AU$589,12,0)</f>
        <v>3964/QĐ-UBND ngày 31/10/2017</v>
      </c>
      <c r="H107" s="483">
        <f>VLOOKUP($B107,DATA!$B$14:$AU$589,13,0)</f>
        <v>4500</v>
      </c>
      <c r="I107" s="483">
        <f>VLOOKUP($B107,DATA!$B$14:$AU$589,15,0)</f>
        <v>2700</v>
      </c>
      <c r="J107" s="483">
        <f>VLOOKUP($B107,DATA!$B$14:$AU$589,26,0)</f>
        <v>0</v>
      </c>
      <c r="K107" s="483">
        <f>VLOOKUP($B107,DATA!$B$14:$AU$589,28,0)</f>
        <v>0</v>
      </c>
      <c r="L107" s="483">
        <f>VLOOKUP($B107,DATA!$B$14:$AU$589,29,0)</f>
        <v>2700</v>
      </c>
      <c r="M107" s="483">
        <f>VLOOKUP($B107,DATA!$B$14:$AU$589,30,0)</f>
        <v>2700</v>
      </c>
      <c r="N107" s="483">
        <f t="shared" ref="N107:N113" si="8">M107*O107/100</f>
        <v>1350</v>
      </c>
      <c r="O107" s="497">
        <v>50</v>
      </c>
      <c r="P107" s="515" t="s">
        <v>1628</v>
      </c>
      <c r="Q107" s="497" t="str">
        <f>VLOOKUP($B107,DATA!$B$14:$AU$589,33,0)</f>
        <v>NS xã bố trí năm 2018</v>
      </c>
    </row>
    <row r="108" spans="1:17" ht="34.5" customHeight="1">
      <c r="A108" s="482">
        <v>2</v>
      </c>
      <c r="B108" s="690" t="s">
        <v>1122</v>
      </c>
      <c r="C108" s="497" t="str">
        <f>VLOOKUP($B108,DATA!$B$14:$AU$589,6,0)</f>
        <v>Đồng Hới</v>
      </c>
      <c r="D108" s="497" t="str">
        <f>VLOOKUP($B108,DATA!$B$14:$AU$589,36,0)</f>
        <v>Lộc Ninh</v>
      </c>
      <c r="E108" s="497">
        <f>VLOOKUP($B108,DATA!$B$14:$AU$589,7,0)</f>
        <v>2019</v>
      </c>
      <c r="F108" s="497">
        <f>VLOOKUP($B108,DATA!$B$14:$AU$589,9,0)</f>
        <v>2021</v>
      </c>
      <c r="G108" s="497" t="str">
        <f>VLOOKUP($B108,DATA!$B$14:$AU$589,12,0)</f>
        <v>3876a/QĐ-UBND ngày 31/10/2018</v>
      </c>
      <c r="H108" s="483">
        <f>VLOOKUP($B108,DATA!$B$14:$AU$589,13,0)</f>
        <v>4000</v>
      </c>
      <c r="I108" s="483">
        <f>VLOOKUP($B108,DATA!$B$14:$AU$589,15,0)</f>
        <v>2400</v>
      </c>
      <c r="J108" s="483">
        <f>VLOOKUP($B108,DATA!$B$14:$AU$589,26,0)</f>
        <v>0</v>
      </c>
      <c r="K108" s="483">
        <f>VLOOKUP($B108,DATA!$B$14:$AU$589,28,0)</f>
        <v>0</v>
      </c>
      <c r="L108" s="483">
        <f>VLOOKUP($B108,DATA!$B$14:$AU$589,29,0)</f>
        <v>1440</v>
      </c>
      <c r="M108" s="483">
        <f>VLOOKUP($B108,DATA!$B$14:$AU$589,30,0)</f>
        <v>1440</v>
      </c>
      <c r="N108" s="483">
        <f t="shared" si="8"/>
        <v>720</v>
      </c>
      <c r="O108" s="497">
        <v>50</v>
      </c>
      <c r="P108" s="515" t="s">
        <v>1628</v>
      </c>
      <c r="Q108" s="497" t="str">
        <f>VLOOKUP($B108,DATA!$B$14:$AU$589,33,0)</f>
        <v>Thay thế Dự án Nhà Hiệu bộ trường TH Lộc Ninh cơ sở 2 (thuộc KH trung hạn)</v>
      </c>
    </row>
    <row r="109" spans="1:17" ht="34.5" customHeight="1">
      <c r="A109" s="482">
        <v>3</v>
      </c>
      <c r="B109" s="490" t="s">
        <v>1153</v>
      </c>
      <c r="C109" s="497" t="str">
        <f>VLOOKUP($B109,DATA!$B$14:$AU$589,6,0)</f>
        <v>Đồng Hới</v>
      </c>
      <c r="D109" s="497" t="str">
        <f>VLOOKUP($B109,DATA!$B$14:$AU$589,36,0)</f>
        <v>Nghĩa Ninh</v>
      </c>
      <c r="E109" s="497">
        <f>VLOOKUP($B109,DATA!$B$14:$AU$589,7,0)</f>
        <v>2019</v>
      </c>
      <c r="F109" s="497">
        <f>VLOOKUP($B109,DATA!$B$14:$AU$589,9,0)</f>
        <v>2021</v>
      </c>
      <c r="G109" s="497" t="str">
        <f>VLOOKUP($B109,DATA!$B$14:$AU$589,12,0)</f>
        <v>3773/QĐ-UBND ngày 31/10/2018</v>
      </c>
      <c r="H109" s="483">
        <f>VLOOKUP($B109,DATA!$B$14:$AU$589,13,0)</f>
        <v>3000</v>
      </c>
      <c r="I109" s="483">
        <f>VLOOKUP($B109,DATA!$B$14:$AU$589,15,0)</f>
        <v>3000</v>
      </c>
      <c r="J109" s="483">
        <f>VLOOKUP($B109,DATA!$B$14:$AU$589,26,0)</f>
        <v>0</v>
      </c>
      <c r="K109" s="483">
        <f>VLOOKUP($B109,DATA!$B$14:$AU$589,28,0)</f>
        <v>0</v>
      </c>
      <c r="L109" s="483">
        <f>VLOOKUP($B109,DATA!$B$14:$AU$589,29,0)</f>
        <v>1800</v>
      </c>
      <c r="M109" s="483">
        <f>VLOOKUP($B109,DATA!$B$14:$AU$589,30,0)</f>
        <v>1800</v>
      </c>
      <c r="N109" s="483">
        <f t="shared" si="8"/>
        <v>900</v>
      </c>
      <c r="O109" s="497">
        <v>50</v>
      </c>
      <c r="P109" s="515" t="s">
        <v>1628</v>
      </c>
      <c r="Q109" s="497" t="str">
        <f>VLOOKUP($B109,DATA!$B$14:$AU$589,33,0)</f>
        <v>Thay thế dự án Trường THCS xã Nghĩa Ninh (2 tầng 6 phòng)</v>
      </c>
    </row>
    <row r="110" spans="1:17" ht="34.5" customHeight="1">
      <c r="A110" s="482">
        <v>4</v>
      </c>
      <c r="B110" s="490" t="s">
        <v>1189</v>
      </c>
      <c r="C110" s="497" t="str">
        <f>VLOOKUP($B110,DATA!$B$14:$AU$589,6,0)</f>
        <v>Ba Đồn</v>
      </c>
      <c r="D110" s="497" t="str">
        <f>VLOOKUP($B110,DATA!$B$14:$AU$589,36,0)</f>
        <v>Quảng Lộc</v>
      </c>
      <c r="E110" s="497">
        <f>VLOOKUP($B110,DATA!$B$14:$AU$589,7,0)</f>
        <v>2019</v>
      </c>
      <c r="F110" s="497">
        <f>VLOOKUP($B110,DATA!$B$14:$AU$589,9,0)</f>
        <v>2021</v>
      </c>
      <c r="G110" s="497" t="str">
        <f>VLOOKUP($B110,DATA!$B$14:$AU$589,12,0)</f>
        <v>3795/QĐ-UBND ngày 31/10/2018</v>
      </c>
      <c r="H110" s="483">
        <f>VLOOKUP($B110,DATA!$B$14:$AU$589,13,0)</f>
        <v>5500</v>
      </c>
      <c r="I110" s="483">
        <f>VLOOKUP($B110,DATA!$B$14:$AU$589,15,0)</f>
        <v>3300</v>
      </c>
      <c r="J110" s="483">
        <f>VLOOKUP($B110,DATA!$B$14:$AU$589,26,0)</f>
        <v>0</v>
      </c>
      <c r="K110" s="483">
        <f>VLOOKUP($B110,DATA!$B$14:$AU$589,28,0)</f>
        <v>0</v>
      </c>
      <c r="L110" s="483">
        <f>VLOOKUP($B110,DATA!$B$14:$AU$589,29,0)</f>
        <v>1980</v>
      </c>
      <c r="M110" s="483">
        <f>VLOOKUP($B110,DATA!$B$14:$AU$589,30,0)</f>
        <v>1980</v>
      </c>
      <c r="N110" s="483">
        <f t="shared" si="8"/>
        <v>990</v>
      </c>
      <c r="O110" s="497">
        <v>50</v>
      </c>
      <c r="P110" s="515" t="s">
        <v>1628</v>
      </c>
      <c r="Q110" s="497">
        <f>VLOOKUP($B110,DATA!$B$14:$AU$589,33,0)</f>
        <v>0</v>
      </c>
    </row>
    <row r="111" spans="1:17" ht="34.5" customHeight="1">
      <c r="A111" s="482">
        <v>5</v>
      </c>
      <c r="B111" s="536" t="s">
        <v>1166</v>
      </c>
      <c r="C111" s="497" t="str">
        <f>VLOOKUP($B111,DATA!$B$14:$AU$589,6,0)</f>
        <v>Đồng Hới</v>
      </c>
      <c r="D111" s="497" t="str">
        <f>VLOOKUP($B111,DATA!$B$14:$AU$589,36,0)</f>
        <v>Đồng Sơn</v>
      </c>
      <c r="E111" s="497">
        <f>VLOOKUP($B111,DATA!$B$14:$AU$589,7,0)</f>
        <v>2019</v>
      </c>
      <c r="F111" s="497">
        <f>VLOOKUP($B111,DATA!$B$14:$AU$589,9,0)</f>
        <v>2021</v>
      </c>
      <c r="G111" s="497" t="str">
        <f>VLOOKUP($B111,DATA!$B$14:$AU$589,12,0)</f>
        <v>3884a/QĐ-UBND ngày 31/10/2018</v>
      </c>
      <c r="H111" s="483">
        <f>VLOOKUP($B111,DATA!$B$14:$AU$589,13,0)</f>
        <v>4000</v>
      </c>
      <c r="I111" s="483">
        <f>VLOOKUP($B111,DATA!$B$14:$AU$589,15,0)</f>
        <v>4000</v>
      </c>
      <c r="J111" s="483">
        <f>VLOOKUP($B111,DATA!$B$14:$AU$589,26,0)</f>
        <v>0</v>
      </c>
      <c r="K111" s="483">
        <f>VLOOKUP($B111,DATA!$B$14:$AU$589,28,0)</f>
        <v>0</v>
      </c>
      <c r="L111" s="483">
        <f>VLOOKUP($B111,DATA!$B$14:$AU$589,29,0)</f>
        <v>2400</v>
      </c>
      <c r="M111" s="483">
        <f>VLOOKUP($B111,DATA!$B$14:$AU$589,30,0)</f>
        <v>2400</v>
      </c>
      <c r="N111" s="483">
        <f t="shared" si="8"/>
        <v>1200</v>
      </c>
      <c r="O111" s="497">
        <v>50</v>
      </c>
      <c r="P111" s="515" t="s">
        <v>1628</v>
      </c>
      <c r="Q111" s="497" t="str">
        <f>VLOOKUP($B111,DATA!$B$14:$AU$589,33,0)</f>
        <v>Thay thế Dự án Nhà lớp học 8 phòng trường THPT Đồng Hới (VB số 137/HĐND-VP ngày 25/10/2018)</v>
      </c>
    </row>
    <row r="112" spans="1:17" ht="34.5" customHeight="1">
      <c r="A112" s="482">
        <v>6</v>
      </c>
      <c r="B112" s="490" t="s">
        <v>1163</v>
      </c>
      <c r="C112" s="497" t="str">
        <f>VLOOKUP($B112,DATA!$B$14:$AU$589,6,0)</f>
        <v>Đồng Hới</v>
      </c>
      <c r="D112" s="497" t="str">
        <f>VLOOKUP($B112,DATA!$B$14:$AU$589,36,0)</f>
        <v>Bắc Lý</v>
      </c>
      <c r="E112" s="497">
        <f>VLOOKUP($B112,DATA!$B$14:$AU$589,7,0)</f>
        <v>2019</v>
      </c>
      <c r="F112" s="497">
        <f>VLOOKUP($B112,DATA!$B$14:$AU$589,9,0)</f>
        <v>2021</v>
      </c>
      <c r="G112" s="497" t="str">
        <f>VLOOKUP($B112,DATA!$B$14:$AU$589,12,0)</f>
        <v>3806/QĐ-UBND ngày 31/10/2018</v>
      </c>
      <c r="H112" s="483">
        <f>VLOOKUP($B112,DATA!$B$14:$AU$589,13,0)</f>
        <v>6000</v>
      </c>
      <c r="I112" s="483">
        <f>VLOOKUP($B112,DATA!$B$14:$AU$589,15,0)</f>
        <v>6000</v>
      </c>
      <c r="J112" s="483">
        <f>VLOOKUP($B112,DATA!$B$14:$AU$589,26,0)</f>
        <v>0</v>
      </c>
      <c r="K112" s="483">
        <f>VLOOKUP($B112,DATA!$B$14:$AU$589,28,0)</f>
        <v>0</v>
      </c>
      <c r="L112" s="483">
        <f>VLOOKUP($B112,DATA!$B$14:$AU$589,29,0)</f>
        <v>3600</v>
      </c>
      <c r="M112" s="483">
        <f>VLOOKUP($B112,DATA!$B$14:$AU$589,30,0)</f>
        <v>3600</v>
      </c>
      <c r="N112" s="483">
        <f t="shared" si="8"/>
        <v>1800</v>
      </c>
      <c r="O112" s="497">
        <v>50</v>
      </c>
      <c r="P112" s="515" t="s">
        <v>1628</v>
      </c>
      <c r="Q112" s="497">
        <f>VLOOKUP($B112,DATA!$B$14:$AU$589,33,0)</f>
        <v>0</v>
      </c>
    </row>
    <row r="113" spans="1:17" ht="34.5" customHeight="1">
      <c r="A113" s="482">
        <v>7</v>
      </c>
      <c r="B113" s="491" t="s">
        <v>1155</v>
      </c>
      <c r="C113" s="497" t="str">
        <f>VLOOKUP($B113,DATA!$B$14:$AU$589,6,0)</f>
        <v>Đồng Hới</v>
      </c>
      <c r="D113" s="497" t="str">
        <f>VLOOKUP($B113,DATA!$B$14:$AU$589,36,0)</f>
        <v>Bắc Nghĩa</v>
      </c>
      <c r="E113" s="497">
        <f>VLOOKUP($B113,DATA!$B$14:$AU$589,7,0)</f>
        <v>2019</v>
      </c>
      <c r="F113" s="497">
        <f>VLOOKUP($B113,DATA!$B$14:$AU$589,9,0)</f>
        <v>2021</v>
      </c>
      <c r="G113" s="497" t="str">
        <f>VLOOKUP($B113,DATA!$B$14:$AU$589,12,0)</f>
        <v>2753/QĐ-UBDN ngày  20/8/2018</v>
      </c>
      <c r="H113" s="483">
        <f>VLOOKUP($B113,DATA!$B$14:$AU$589,13,0)</f>
        <v>9500</v>
      </c>
      <c r="I113" s="483">
        <f>VLOOKUP($B113,DATA!$B$14:$AU$589,15,0)</f>
        <v>9500</v>
      </c>
      <c r="J113" s="483">
        <f>VLOOKUP($B113,DATA!$B$14:$AU$589,26,0)</f>
        <v>0</v>
      </c>
      <c r="K113" s="483">
        <f>VLOOKUP($B113,DATA!$B$14:$AU$589,28,0)</f>
        <v>0</v>
      </c>
      <c r="L113" s="483">
        <f>VLOOKUP($B113,DATA!$B$14:$AU$589,29,0)</f>
        <v>5700</v>
      </c>
      <c r="M113" s="483">
        <f>VLOOKUP($B113,DATA!$B$14:$AU$589,30,0)</f>
        <v>5700</v>
      </c>
      <c r="N113" s="483">
        <f t="shared" si="8"/>
        <v>2850</v>
      </c>
      <c r="O113" s="497">
        <v>50</v>
      </c>
      <c r="P113" s="515" t="s">
        <v>1628</v>
      </c>
      <c r="Q113" s="497">
        <f>VLOOKUP($B113,DATA!$B$14:$AU$589,33,0)</f>
        <v>0</v>
      </c>
    </row>
    <row r="114" spans="1:17">
      <c r="B114" s="684"/>
    </row>
  </sheetData>
  <sortState ref="A111:Q116">
    <sortCondition ref="N111:N116"/>
  </sortState>
  <mergeCells count="21">
    <mergeCell ref="Q4:Q7"/>
    <mergeCell ref="G5:G7"/>
    <mergeCell ref="H5:I5"/>
    <mergeCell ref="H6:H7"/>
    <mergeCell ref="C4:C7"/>
    <mergeCell ref="E4:E7"/>
    <mergeCell ref="J6:J7"/>
    <mergeCell ref="J4:K5"/>
    <mergeCell ref="F4:F7"/>
    <mergeCell ref="O4:O7"/>
    <mergeCell ref="N4:N7"/>
    <mergeCell ref="P4:P7"/>
    <mergeCell ref="D4:D7"/>
    <mergeCell ref="A4:A7"/>
    <mergeCell ref="B4:B7"/>
    <mergeCell ref="L4:M5"/>
    <mergeCell ref="L6:L7"/>
    <mergeCell ref="M6:M7"/>
    <mergeCell ref="I6:I7"/>
    <mergeCell ref="K6:K7"/>
    <mergeCell ref="G4:I4"/>
  </mergeCells>
  <printOptions horizontalCentered="1"/>
  <pageMargins left="0.70866141732283472" right="0.70866141732283472" top="0.70866141732283472" bottom="0.70078740157480324" header="0.31496062992125984" footer="0.31496062992125984"/>
  <pageSetup paperSize="9" scale="59"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QD</vt:lpstr>
      <vt:lpstr>DATA</vt:lpstr>
      <vt:lpstr>Tien dat 2019</vt:lpstr>
      <vt:lpstr>1NGUON</vt:lpstr>
      <vt:lpstr>2CO CAU</vt:lpstr>
      <vt:lpstr>3PBHUYEN</vt:lpstr>
      <vt:lpstr>4DMPL</vt:lpstr>
      <vt:lpstr>5KHCN</vt:lpstr>
      <vt:lpstr>6GDDT</vt:lpstr>
      <vt:lpstr>7YTE</vt:lpstr>
      <vt:lpstr>8NOXDCB</vt:lpstr>
      <vt:lpstr>10ChaLo</vt:lpstr>
      <vt:lpstr>9 ODA</vt:lpstr>
      <vt:lpstr>11PNKB</vt:lpstr>
      <vt:lpstr>12PCNST</vt:lpstr>
      <vt:lpstr>13TRONGDIEM</vt:lpstr>
      <vt:lpstr>14CHUYEN TIEP</vt:lpstr>
      <vt:lpstr>15KCM 2019</vt:lpstr>
      <vt:lpstr>'2CO CAU'!_ftnref1</vt:lpstr>
      <vt:lpstr>'2CO CAU'!_ftnref2</vt:lpstr>
      <vt:lpstr>'2CO CAU'!_ftnref3</vt:lpstr>
      <vt:lpstr>'2CO CAU'!_ftnref4</vt:lpstr>
      <vt:lpstr>'2CO CAU'!_ftnref5</vt:lpstr>
      <vt:lpstr>'10ChaLo'!Print_Titles</vt:lpstr>
      <vt:lpstr>'11PNKB'!Print_Titles</vt:lpstr>
      <vt:lpstr>'12PCNST'!Print_Titles</vt:lpstr>
      <vt:lpstr>'13TRONGDIEM'!Print_Titles</vt:lpstr>
      <vt:lpstr>'14CHUYEN TIEP'!Print_Titles</vt:lpstr>
      <vt:lpstr>'15KCM 2019'!Print_Titles</vt:lpstr>
      <vt:lpstr>'1NGUON'!Print_Titles</vt:lpstr>
      <vt:lpstr>'5KHCN'!Print_Titles</vt:lpstr>
      <vt:lpstr>'6GDDT'!Print_Titles</vt:lpstr>
      <vt:lpstr>'7YTE'!Print_Titles</vt:lpstr>
      <vt:lpstr>'8NOXDCB'!Print_Titles</vt:lpstr>
      <vt:lpstr>'9 ODA'!Print_Titles</vt:lpstr>
      <vt:lpstr>QD!Print_Titles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2018-11-30T09:44:02Z</cp:lastPrinted>
  <dcterms:created xsi:type="dcterms:W3CDTF">2016-11-24T10:10:27Z</dcterms:created>
  <dcterms:modified xsi:type="dcterms:W3CDTF">2018-11-30T10:13:46Z</dcterms:modified>
</cp:coreProperties>
</file>