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109"/>
  <workbookPr/>
  <mc:AlternateContent xmlns:mc="http://schemas.openxmlformats.org/markup-compatibility/2006">
    <mc:Choice Requires="x15">
      <x15ac:absPath xmlns:x15ac="http://schemas.microsoft.com/office/spreadsheetml/2010/11/ac" url="/Users/hoangtuquochung/Downloads/"/>
    </mc:Choice>
  </mc:AlternateContent>
  <bookViews>
    <workbookView xWindow="0" yWindow="460" windowWidth="28800" windowHeight="16440" tabRatio="982" firstSheet="1" activeTab="1"/>
  </bookViews>
  <sheets>
    <sheet name="Sheet1" sheetId="13" state="hidden" r:id="rId1"/>
    <sheet name="ADF TT FN" sheetId="4" r:id="rId2"/>
    <sheet name="Tra ADF nhanh" sheetId="14" r:id="rId3"/>
    <sheet name="ADF Nhanh" sheetId="11" state="hidden" r:id="rId4"/>
    <sheet name="Lich tra no OCR" sheetId="6" r:id="rId5"/>
  </sheets>
  <externalReferences>
    <externalReference r:id="rId6"/>
    <externalReference r:id="rId7"/>
  </externalReferences>
  <definedNames>
    <definedName name="fx">[1]TMDT!$F$3</definedName>
    <definedName name="_xlnm.Print_Area" localSheetId="3">'ADF Nhanh'!$C$1:$X$45</definedName>
    <definedName name="_xlnm.Print_Titles" localSheetId="3">'ADF Nhanh'!$3:$5</definedName>
    <definedName name="_xlnm.Print_Titles" localSheetId="1">'ADF TT FN'!$3:$4</definedName>
    <definedName name="_xlnm.Print_Titles" localSheetId="4">'Lich tra no OCR'!$5:$8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23" i="6" l="1"/>
  <c r="Y35" i="6"/>
  <c r="Y36" i="6"/>
  <c r="Y37" i="6"/>
  <c r="Y38" i="6"/>
  <c r="Y39" i="6"/>
  <c r="Y40" i="6"/>
  <c r="Y41" i="6"/>
  <c r="Y42" i="6"/>
  <c r="Y43" i="6"/>
  <c r="Y44" i="6"/>
  <c r="Y45" i="6"/>
  <c r="Y46" i="6"/>
  <c r="Y47" i="6"/>
  <c r="Y48" i="6"/>
  <c r="Y49" i="6"/>
  <c r="Y50" i="6"/>
  <c r="Y51" i="6"/>
  <c r="Y52" i="6"/>
  <c r="Y53" i="6"/>
  <c r="Y54" i="6"/>
  <c r="Y55" i="6"/>
  <c r="Y56" i="6"/>
  <c r="Y57" i="6"/>
  <c r="Y58" i="6"/>
  <c r="Y59" i="6"/>
  <c r="Y60" i="6"/>
  <c r="Y61" i="6"/>
  <c r="Y34" i="6"/>
  <c r="Y33" i="6"/>
  <c r="Y32" i="6"/>
  <c r="Y31" i="6"/>
  <c r="Y30" i="6"/>
  <c r="Y29" i="6"/>
  <c r="Y28" i="6"/>
  <c r="Y27" i="6"/>
  <c r="Y26" i="6"/>
  <c r="D11" i="6"/>
  <c r="E11" i="6"/>
  <c r="D12" i="6"/>
  <c r="E12" i="6"/>
  <c r="D13" i="6"/>
  <c r="E13" i="6"/>
  <c r="D14" i="6"/>
  <c r="E14" i="6"/>
  <c r="D15" i="6"/>
  <c r="E15" i="6"/>
  <c r="D16" i="6"/>
  <c r="E16" i="6"/>
  <c r="D17" i="6"/>
  <c r="E17" i="6"/>
  <c r="D18" i="6"/>
  <c r="E18" i="6"/>
  <c r="D19" i="6"/>
  <c r="E19" i="6"/>
  <c r="D20" i="6"/>
  <c r="E20" i="6"/>
  <c r="D21" i="6"/>
  <c r="E21" i="6"/>
  <c r="D24" i="6"/>
  <c r="E24" i="6"/>
  <c r="D23" i="6"/>
  <c r="E23" i="6"/>
  <c r="N24" i="6"/>
  <c r="O10" i="6"/>
  <c r="O11" i="6"/>
  <c r="O12" i="6"/>
  <c r="O13" i="6"/>
  <c r="O14" i="6"/>
  <c r="O15" i="6"/>
  <c r="O16" i="6"/>
  <c r="O17" i="6"/>
  <c r="O18" i="6"/>
  <c r="O19" i="6"/>
  <c r="O20" i="6"/>
  <c r="O21" i="6"/>
  <c r="O24" i="6"/>
  <c r="P24" i="6"/>
  <c r="Z24" i="6"/>
  <c r="D25" i="6"/>
  <c r="E25" i="6"/>
  <c r="K24" i="6"/>
  <c r="I24" i="6"/>
  <c r="L24" i="6"/>
  <c r="N25" i="6"/>
  <c r="O25" i="6"/>
  <c r="P25" i="6"/>
  <c r="Z25" i="6"/>
  <c r="D26" i="6"/>
  <c r="E26" i="6"/>
  <c r="K25" i="6"/>
  <c r="I25" i="6"/>
  <c r="L25" i="6"/>
  <c r="N26" i="6"/>
  <c r="O26" i="6"/>
  <c r="P26" i="6"/>
  <c r="Z26" i="6"/>
  <c r="D27" i="6"/>
  <c r="E27" i="6"/>
  <c r="K26" i="6"/>
  <c r="I26" i="6"/>
  <c r="L26" i="6"/>
  <c r="N27" i="6"/>
  <c r="O27" i="6"/>
  <c r="P27" i="6"/>
  <c r="Z27" i="6"/>
  <c r="D28" i="6"/>
  <c r="E28" i="6"/>
  <c r="K27" i="6"/>
  <c r="I27" i="6"/>
  <c r="L27" i="6"/>
  <c r="N28" i="6"/>
  <c r="O28" i="6"/>
  <c r="P28" i="6"/>
  <c r="Z28" i="6"/>
  <c r="D29" i="6"/>
  <c r="E29" i="6"/>
  <c r="K28" i="6"/>
  <c r="I28" i="6"/>
  <c r="L28" i="6"/>
  <c r="N29" i="6"/>
  <c r="O29" i="6"/>
  <c r="P29" i="6"/>
  <c r="Z29" i="6"/>
  <c r="D30" i="6"/>
  <c r="E30" i="6"/>
  <c r="K29" i="6"/>
  <c r="I29" i="6"/>
  <c r="L29" i="6"/>
  <c r="N30" i="6"/>
  <c r="O30" i="6"/>
  <c r="P30" i="6"/>
  <c r="Z30" i="6"/>
  <c r="D31" i="6"/>
  <c r="E31" i="6"/>
  <c r="K30" i="6"/>
  <c r="I30" i="6"/>
  <c r="L30" i="6"/>
  <c r="N31" i="6"/>
  <c r="O31" i="6"/>
  <c r="P31" i="6"/>
  <c r="Z31" i="6"/>
  <c r="D32" i="6"/>
  <c r="E32" i="6"/>
  <c r="K31" i="6"/>
  <c r="I31" i="6"/>
  <c r="L31" i="6"/>
  <c r="N32" i="6"/>
  <c r="O32" i="6"/>
  <c r="P32" i="6"/>
  <c r="Z32" i="6"/>
  <c r="D33" i="6"/>
  <c r="E33" i="6"/>
  <c r="K32" i="6"/>
  <c r="I32" i="6"/>
  <c r="L32" i="6"/>
  <c r="N33" i="6"/>
  <c r="O33" i="6"/>
  <c r="P33" i="6"/>
  <c r="Z33" i="6"/>
  <c r="D34" i="6"/>
  <c r="E34" i="6"/>
  <c r="K33" i="6"/>
  <c r="I33" i="6"/>
  <c r="L33" i="6"/>
  <c r="N34" i="6"/>
  <c r="O34" i="6"/>
  <c r="P34" i="6"/>
  <c r="Z34" i="6"/>
  <c r="D35" i="6"/>
  <c r="E35" i="6"/>
  <c r="K34" i="6"/>
  <c r="I34" i="6"/>
  <c r="L34" i="6"/>
  <c r="N35" i="6"/>
  <c r="O35" i="6"/>
  <c r="P35" i="6"/>
  <c r="Z35" i="6"/>
  <c r="D36" i="6"/>
  <c r="E36" i="6"/>
  <c r="K35" i="6"/>
  <c r="I35" i="6"/>
  <c r="L35" i="6"/>
  <c r="N36" i="6"/>
  <c r="O36" i="6"/>
  <c r="P36" i="6"/>
  <c r="Z36" i="6"/>
  <c r="D37" i="6"/>
  <c r="E37" i="6"/>
  <c r="K36" i="6"/>
  <c r="I36" i="6"/>
  <c r="L36" i="6"/>
  <c r="N37" i="6"/>
  <c r="O37" i="6"/>
  <c r="P37" i="6"/>
  <c r="Z37" i="6"/>
  <c r="D38" i="6"/>
  <c r="E38" i="6"/>
  <c r="K37" i="6"/>
  <c r="I37" i="6"/>
  <c r="L37" i="6"/>
  <c r="N38" i="6"/>
  <c r="O38" i="6"/>
  <c r="P38" i="6"/>
  <c r="Z38" i="6"/>
  <c r="D39" i="6"/>
  <c r="E39" i="6"/>
  <c r="K38" i="6"/>
  <c r="I38" i="6"/>
  <c r="L38" i="6"/>
  <c r="N39" i="6"/>
  <c r="O39" i="6"/>
  <c r="P39" i="6"/>
  <c r="Z39" i="6"/>
  <c r="D40" i="6"/>
  <c r="E40" i="6"/>
  <c r="K39" i="6"/>
  <c r="I39" i="6"/>
  <c r="L39" i="6"/>
  <c r="N40" i="6"/>
  <c r="O40" i="6"/>
  <c r="P40" i="6"/>
  <c r="Z40" i="6"/>
  <c r="D41" i="6"/>
  <c r="E41" i="6"/>
  <c r="K40" i="6"/>
  <c r="I40" i="6"/>
  <c r="L40" i="6"/>
  <c r="N41" i="6"/>
  <c r="O41" i="6"/>
  <c r="P41" i="6"/>
  <c r="Z41" i="6"/>
  <c r="D42" i="6"/>
  <c r="E42" i="6"/>
  <c r="K41" i="6"/>
  <c r="I41" i="6"/>
  <c r="L41" i="6"/>
  <c r="N42" i="6"/>
  <c r="O42" i="6"/>
  <c r="P42" i="6"/>
  <c r="Z42" i="6"/>
  <c r="D43" i="6"/>
  <c r="E43" i="6"/>
  <c r="K42" i="6"/>
  <c r="I42" i="6"/>
  <c r="L42" i="6"/>
  <c r="N43" i="6"/>
  <c r="O43" i="6"/>
  <c r="P43" i="6"/>
  <c r="Z43" i="6"/>
  <c r="D44" i="6"/>
  <c r="E44" i="6"/>
  <c r="K43" i="6"/>
  <c r="I43" i="6"/>
  <c r="L43" i="6"/>
  <c r="N44" i="6"/>
  <c r="O44" i="6"/>
  <c r="P44" i="6"/>
  <c r="Z44" i="6"/>
  <c r="D45" i="6"/>
  <c r="E45" i="6"/>
  <c r="K44" i="6"/>
  <c r="I44" i="6"/>
  <c r="L44" i="6"/>
  <c r="N45" i="6"/>
  <c r="O45" i="6"/>
  <c r="P45" i="6"/>
  <c r="Z45" i="6"/>
  <c r="D46" i="6"/>
  <c r="E46" i="6"/>
  <c r="K45" i="6"/>
  <c r="I45" i="6"/>
  <c r="L45" i="6"/>
  <c r="N46" i="6"/>
  <c r="O46" i="6"/>
  <c r="P46" i="6"/>
  <c r="Z46" i="6"/>
  <c r="D47" i="6"/>
  <c r="E47" i="6"/>
  <c r="K46" i="6"/>
  <c r="I46" i="6"/>
  <c r="L46" i="6"/>
  <c r="N47" i="6"/>
  <c r="O47" i="6"/>
  <c r="P47" i="6"/>
  <c r="Z47" i="6"/>
  <c r="D48" i="6"/>
  <c r="E48" i="6"/>
  <c r="K47" i="6"/>
  <c r="I47" i="6"/>
  <c r="L47" i="6"/>
  <c r="N48" i="6"/>
  <c r="O48" i="6"/>
  <c r="P48" i="6"/>
  <c r="Z48" i="6"/>
  <c r="D49" i="6"/>
  <c r="E49" i="6"/>
  <c r="K48" i="6"/>
  <c r="I48" i="6"/>
  <c r="L48" i="6"/>
  <c r="N49" i="6"/>
  <c r="O49" i="6"/>
  <c r="P49" i="6"/>
  <c r="Z49" i="6"/>
  <c r="D50" i="6"/>
  <c r="E50" i="6"/>
  <c r="K49" i="6"/>
  <c r="I49" i="6"/>
  <c r="L49" i="6"/>
  <c r="N50" i="6"/>
  <c r="O50" i="6"/>
  <c r="P50" i="6"/>
  <c r="Z50" i="6"/>
  <c r="D51" i="6"/>
  <c r="E51" i="6"/>
  <c r="K50" i="6"/>
  <c r="I50" i="6"/>
  <c r="L50" i="6"/>
  <c r="N51" i="6"/>
  <c r="O51" i="6"/>
  <c r="P51" i="6"/>
  <c r="Z51" i="6"/>
  <c r="D52" i="6"/>
  <c r="E52" i="6"/>
  <c r="K51" i="6"/>
  <c r="I51" i="6"/>
  <c r="L51" i="6"/>
  <c r="N52" i="6"/>
  <c r="O52" i="6"/>
  <c r="P52" i="6"/>
  <c r="Z52" i="6"/>
  <c r="D53" i="6"/>
  <c r="E53" i="6"/>
  <c r="K52" i="6"/>
  <c r="I52" i="6"/>
  <c r="L52" i="6"/>
  <c r="N53" i="6"/>
  <c r="O53" i="6"/>
  <c r="P53" i="6"/>
  <c r="Z53" i="6"/>
  <c r="D54" i="6"/>
  <c r="E54" i="6"/>
  <c r="K53" i="6"/>
  <c r="I53" i="6"/>
  <c r="L53" i="6"/>
  <c r="N54" i="6"/>
  <c r="O54" i="6"/>
  <c r="P54" i="6"/>
  <c r="Z54" i="6"/>
  <c r="D55" i="6"/>
  <c r="E55" i="6"/>
  <c r="K54" i="6"/>
  <c r="I54" i="6"/>
  <c r="L54" i="6"/>
  <c r="N55" i="6"/>
  <c r="O55" i="6"/>
  <c r="P55" i="6"/>
  <c r="Z55" i="6"/>
  <c r="D56" i="6"/>
  <c r="E56" i="6"/>
  <c r="K55" i="6"/>
  <c r="I55" i="6"/>
  <c r="L55" i="6"/>
  <c r="N56" i="6"/>
  <c r="O56" i="6"/>
  <c r="P56" i="6"/>
  <c r="Z56" i="6"/>
  <c r="D57" i="6"/>
  <c r="E57" i="6"/>
  <c r="K56" i="6"/>
  <c r="I56" i="6"/>
  <c r="L56" i="6"/>
  <c r="N57" i="6"/>
  <c r="O57" i="6"/>
  <c r="P57" i="6"/>
  <c r="Z57" i="6"/>
  <c r="D58" i="6"/>
  <c r="E58" i="6"/>
  <c r="K57" i="6"/>
  <c r="I57" i="6"/>
  <c r="L57" i="6"/>
  <c r="N58" i="6"/>
  <c r="O58" i="6"/>
  <c r="P58" i="6"/>
  <c r="Z58" i="6"/>
  <c r="D59" i="6"/>
  <c r="E59" i="6"/>
  <c r="K58" i="6"/>
  <c r="I58" i="6"/>
  <c r="L58" i="6"/>
  <c r="N59" i="6"/>
  <c r="O59" i="6"/>
  <c r="P59" i="6"/>
  <c r="Z59" i="6"/>
  <c r="D60" i="6"/>
  <c r="E60" i="6"/>
  <c r="K59" i="6"/>
  <c r="I59" i="6"/>
  <c r="L59" i="6"/>
  <c r="N60" i="6"/>
  <c r="O60" i="6"/>
  <c r="P60" i="6"/>
  <c r="Z60" i="6"/>
  <c r="D61" i="6"/>
  <c r="E61" i="6"/>
  <c r="K60" i="6"/>
  <c r="I60" i="6"/>
  <c r="L60" i="6"/>
  <c r="N61" i="6"/>
  <c r="O61" i="6"/>
  <c r="P61" i="6"/>
  <c r="Z61" i="6"/>
  <c r="Z81" i="6"/>
  <c r="K61" i="6"/>
  <c r="J23" i="6"/>
  <c r="Y24" i="6"/>
  <c r="Y81" i="6"/>
  <c r="V62" i="6"/>
  <c r="W62" i="6"/>
  <c r="V64" i="6"/>
  <c r="W64" i="6"/>
  <c r="J6" i="4"/>
  <c r="C6" i="4"/>
  <c r="L11" i="6"/>
  <c r="L63" i="6"/>
  <c r="L64" i="6"/>
  <c r="N23" i="6"/>
  <c r="M23" i="6"/>
  <c r="J6" i="14"/>
  <c r="J7" i="14"/>
  <c r="C6" i="14"/>
  <c r="E6" i="14"/>
  <c r="E7" i="14"/>
  <c r="E8" i="14"/>
  <c r="E9" i="14"/>
  <c r="E10" i="14"/>
  <c r="E11" i="14"/>
  <c r="E12" i="14"/>
  <c r="E13" i="14"/>
  <c r="E14" i="14"/>
  <c r="E15" i="14"/>
  <c r="E16" i="14"/>
  <c r="E17" i="14"/>
  <c r="E18" i="14"/>
  <c r="E19" i="14"/>
  <c r="E20" i="14"/>
  <c r="E21" i="14"/>
  <c r="E22" i="14"/>
  <c r="E23" i="14"/>
  <c r="E24" i="14"/>
  <c r="E25" i="14"/>
  <c r="B6" i="14"/>
  <c r="K6" i="14"/>
  <c r="I6" i="14"/>
  <c r="D5" i="14"/>
  <c r="G6" i="14"/>
  <c r="G7" i="14"/>
  <c r="G8" i="14"/>
  <c r="G9" i="14"/>
  <c r="G10" i="14"/>
  <c r="G11" i="14"/>
  <c r="G12" i="14"/>
  <c r="G13" i="14"/>
  <c r="G14" i="14"/>
  <c r="G7" i="11"/>
  <c r="H7" i="11"/>
  <c r="I7" i="11"/>
  <c r="S7" i="11"/>
  <c r="V7" i="11"/>
  <c r="V8" i="11"/>
  <c r="W7" i="11"/>
  <c r="X7" i="11"/>
  <c r="C8" i="11"/>
  <c r="C9" i="11"/>
  <c r="D8" i="11"/>
  <c r="E8" i="11"/>
  <c r="D9" i="11"/>
  <c r="F8" i="11"/>
  <c r="G8" i="11"/>
  <c r="E9" i="11"/>
  <c r="D10" i="11"/>
  <c r="E10" i="11"/>
  <c r="D11" i="11"/>
  <c r="E11" i="11"/>
  <c r="F9" i="11"/>
  <c r="F10" i="11"/>
  <c r="F11" i="11"/>
  <c r="F12" i="11"/>
  <c r="F13" i="11"/>
  <c r="F14" i="11"/>
  <c r="F15" i="11"/>
  <c r="F16" i="11"/>
  <c r="F18" i="11"/>
  <c r="F19" i="11"/>
  <c r="G9" i="11"/>
  <c r="H9" i="11"/>
  <c r="K9" i="11"/>
  <c r="V9" i="11"/>
  <c r="C10" i="11"/>
  <c r="C11" i="11"/>
  <c r="C12" i="11"/>
  <c r="C13" i="11"/>
  <c r="C14" i="11"/>
  <c r="C15" i="11"/>
  <c r="C16" i="11"/>
  <c r="G10" i="11"/>
  <c r="K10" i="11"/>
  <c r="K11" i="11"/>
  <c r="K12" i="11"/>
  <c r="K13" i="11"/>
  <c r="K14" i="11"/>
  <c r="K15" i="11"/>
  <c r="K16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V10" i="11"/>
  <c r="W9" i="11"/>
  <c r="X9" i="11"/>
  <c r="H11" i="11"/>
  <c r="V11" i="11"/>
  <c r="V12" i="11"/>
  <c r="W11" i="11"/>
  <c r="X11" i="11"/>
  <c r="H13" i="11"/>
  <c r="V13" i="11"/>
  <c r="V14" i="11"/>
  <c r="W13" i="11"/>
  <c r="X13" i="11"/>
  <c r="H15" i="11"/>
  <c r="V15" i="11"/>
  <c r="V16" i="11"/>
  <c r="W15" i="11"/>
  <c r="X15" i="11"/>
  <c r="J18" i="11"/>
  <c r="J19" i="11"/>
  <c r="X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J20" i="11"/>
  <c r="J21" i="11"/>
  <c r="X21" i="11"/>
  <c r="J22" i="11"/>
  <c r="J23" i="11"/>
  <c r="X23" i="11"/>
  <c r="J24" i="11"/>
  <c r="J25" i="11"/>
  <c r="X25" i="11"/>
  <c r="J26" i="11"/>
  <c r="J27" i="11"/>
  <c r="X27" i="11"/>
  <c r="J28" i="11"/>
  <c r="J29" i="11"/>
  <c r="X29" i="11"/>
  <c r="J30" i="11"/>
  <c r="J31" i="11"/>
  <c r="X31" i="11"/>
  <c r="F32" i="11"/>
  <c r="F33" i="11"/>
  <c r="F34" i="11"/>
  <c r="F35" i="11"/>
  <c r="F36" i="11"/>
  <c r="J32" i="11"/>
  <c r="J33" i="11"/>
  <c r="X33" i="11"/>
  <c r="J34" i="11"/>
  <c r="J35" i="11"/>
  <c r="X35" i="11"/>
  <c r="J36" i="11"/>
  <c r="F37" i="11"/>
  <c r="J37" i="11"/>
  <c r="X37" i="11"/>
  <c r="D5" i="4"/>
  <c r="G6" i="4"/>
  <c r="H6" i="14"/>
  <c r="F6" i="14"/>
  <c r="B7" i="14"/>
  <c r="K7" i="14"/>
  <c r="I7" i="14"/>
  <c r="D6" i="14"/>
  <c r="J8" i="14"/>
  <c r="C7" i="14"/>
  <c r="I8" i="11"/>
  <c r="S8" i="11"/>
  <c r="I9" i="11"/>
  <c r="S9" i="11"/>
  <c r="I10" i="11"/>
  <c r="S10" i="11"/>
  <c r="I11" i="11"/>
  <c r="G11" i="11"/>
  <c r="S11" i="11"/>
  <c r="I12" i="11"/>
  <c r="D12" i="11"/>
  <c r="E12" i="11"/>
  <c r="D6" i="4"/>
  <c r="B8" i="14"/>
  <c r="D7" i="14"/>
  <c r="H7" i="14"/>
  <c r="F7" i="14"/>
  <c r="B9" i="14"/>
  <c r="K8" i="14"/>
  <c r="I8" i="14"/>
  <c r="C8" i="14"/>
  <c r="J9" i="14"/>
  <c r="G12" i="11"/>
  <c r="S12" i="11"/>
  <c r="D13" i="11"/>
  <c r="E13" i="11"/>
  <c r="G7" i="4"/>
  <c r="J7" i="4"/>
  <c r="E28" i="13"/>
  <c r="E27" i="13"/>
  <c r="E26" i="13"/>
  <c r="D23" i="13"/>
  <c r="H23" i="13"/>
  <c r="D22" i="13"/>
  <c r="K22" i="13"/>
  <c r="D21" i="13"/>
  <c r="I21" i="13"/>
  <c r="D20" i="13"/>
  <c r="H20" i="13"/>
  <c r="D19" i="13"/>
  <c r="G19" i="13"/>
  <c r="K17" i="13"/>
  <c r="J17" i="13"/>
  <c r="I17" i="13"/>
  <c r="H17" i="13"/>
  <c r="G17" i="13"/>
  <c r="D17" i="13"/>
  <c r="E17" i="13"/>
  <c r="K16" i="13"/>
  <c r="J16" i="13"/>
  <c r="J15" i="13"/>
  <c r="I16" i="13"/>
  <c r="H16" i="13"/>
  <c r="G16" i="13"/>
  <c r="D16" i="13"/>
  <c r="E16" i="13"/>
  <c r="K14" i="13"/>
  <c r="J14" i="13"/>
  <c r="I14" i="13"/>
  <c r="H14" i="13"/>
  <c r="G14" i="13"/>
  <c r="D14" i="13"/>
  <c r="K13" i="13"/>
  <c r="J13" i="13"/>
  <c r="I13" i="13"/>
  <c r="H13" i="13"/>
  <c r="G13" i="13"/>
  <c r="D13" i="13"/>
  <c r="K12" i="13"/>
  <c r="J12" i="13"/>
  <c r="I12" i="13"/>
  <c r="H12" i="13"/>
  <c r="G12" i="13"/>
  <c r="D12" i="13"/>
  <c r="E12" i="13"/>
  <c r="K10" i="13"/>
  <c r="J10" i="13"/>
  <c r="I10" i="13"/>
  <c r="H10" i="13"/>
  <c r="G10" i="13"/>
  <c r="D10" i="13"/>
  <c r="E10" i="13"/>
  <c r="K9" i="13"/>
  <c r="J9" i="13"/>
  <c r="I9" i="13"/>
  <c r="H9" i="13"/>
  <c r="G9" i="13"/>
  <c r="K8" i="13"/>
  <c r="J8" i="13"/>
  <c r="I8" i="13"/>
  <c r="H8" i="13"/>
  <c r="G8" i="13"/>
  <c r="D8" i="13"/>
  <c r="K7" i="13"/>
  <c r="J7" i="13"/>
  <c r="I7" i="13"/>
  <c r="H7" i="13"/>
  <c r="G7" i="13"/>
  <c r="D7" i="13"/>
  <c r="T85" i="6"/>
  <c r="S124" i="6"/>
  <c r="S122" i="6"/>
  <c r="S120" i="6"/>
  <c r="S118" i="6"/>
  <c r="S116" i="6"/>
  <c r="S114" i="6"/>
  <c r="S112" i="6"/>
  <c r="S110" i="6"/>
  <c r="S108" i="6"/>
  <c r="S106" i="6"/>
  <c r="S104" i="6"/>
  <c r="S102" i="6"/>
  <c r="S100" i="6"/>
  <c r="S98" i="6"/>
  <c r="S96" i="6"/>
  <c r="S94" i="6"/>
  <c r="S92" i="6"/>
  <c r="S90" i="6"/>
  <c r="S87" i="6"/>
  <c r="Q34" i="6"/>
  <c r="Q36" i="6"/>
  <c r="Q38" i="6"/>
  <c r="Q40" i="6"/>
  <c r="Q42" i="6"/>
  <c r="Q44" i="6"/>
  <c r="Q46" i="6"/>
  <c r="Q48" i="6"/>
  <c r="Q50" i="6"/>
  <c r="Q52" i="6"/>
  <c r="Q54" i="6"/>
  <c r="Q56" i="6"/>
  <c r="Q58" i="6"/>
  <c r="Q60" i="6"/>
  <c r="Y64" i="6"/>
  <c r="Z64" i="6"/>
  <c r="Y62" i="6"/>
  <c r="Z62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N21" i="6"/>
  <c r="N20" i="6"/>
  <c r="AD19" i="6"/>
  <c r="N19" i="6"/>
  <c r="AD18" i="6"/>
  <c r="N18" i="6"/>
  <c r="H18" i="6"/>
  <c r="AD17" i="6"/>
  <c r="N17" i="6"/>
  <c r="AD16" i="6"/>
  <c r="N16" i="6"/>
  <c r="H16" i="6"/>
  <c r="AD15" i="6"/>
  <c r="N15" i="6"/>
  <c r="AD14" i="6"/>
  <c r="N14" i="6"/>
  <c r="H14" i="6"/>
  <c r="AD13" i="6"/>
  <c r="N13" i="6"/>
  <c r="AD12" i="6"/>
  <c r="N12" i="6"/>
  <c r="H12" i="6"/>
  <c r="L12" i="6"/>
  <c r="L13" i="6"/>
  <c r="AD11" i="6"/>
  <c r="N11" i="6"/>
  <c r="F11" i="6"/>
  <c r="F12" i="6"/>
  <c r="F13" i="6"/>
  <c r="F14" i="6"/>
  <c r="F15" i="6"/>
  <c r="F16" i="6"/>
  <c r="F17" i="6"/>
  <c r="F18" i="6"/>
  <c r="F19" i="6"/>
  <c r="F20" i="6"/>
  <c r="G12" i="6"/>
  <c r="C11" i="6"/>
  <c r="C12" i="6"/>
  <c r="C13" i="6"/>
  <c r="C14" i="6"/>
  <c r="C15" i="6"/>
  <c r="C16" i="6"/>
  <c r="C17" i="6"/>
  <c r="C18" i="6"/>
  <c r="C19" i="6"/>
  <c r="C20" i="6"/>
  <c r="C21" i="6"/>
  <c r="AD10" i="6"/>
  <c r="N10" i="6"/>
  <c r="H10" i="6"/>
  <c r="G10" i="6"/>
  <c r="K21" i="13"/>
  <c r="G21" i="13"/>
  <c r="I23" i="13"/>
  <c r="D8" i="14"/>
  <c r="G6" i="13"/>
  <c r="K6" i="13"/>
  <c r="G15" i="13"/>
  <c r="G11" i="13"/>
  <c r="K15" i="13"/>
  <c r="I15" i="13"/>
  <c r="I11" i="13"/>
  <c r="I11" i="6"/>
  <c r="L10" i="6"/>
  <c r="AC10" i="6"/>
  <c r="AC5" i="6"/>
  <c r="L14" i="6"/>
  <c r="L15" i="6"/>
  <c r="L16" i="6"/>
  <c r="L17" i="6"/>
  <c r="F21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23" i="6"/>
  <c r="I19" i="13"/>
  <c r="E23" i="13"/>
  <c r="D15" i="13"/>
  <c r="E15" i="13"/>
  <c r="D18" i="13"/>
  <c r="E18" i="13"/>
  <c r="J21" i="13"/>
  <c r="H8" i="14"/>
  <c r="F8" i="14"/>
  <c r="K9" i="14"/>
  <c r="I9" i="14"/>
  <c r="C9" i="14"/>
  <c r="J10" i="14"/>
  <c r="B10" i="14"/>
  <c r="I13" i="11"/>
  <c r="D14" i="11"/>
  <c r="E14" i="11"/>
  <c r="G13" i="11"/>
  <c r="K11" i="13"/>
  <c r="H15" i="13"/>
  <c r="H22" i="13"/>
  <c r="G20" i="13"/>
  <c r="J20" i="13"/>
  <c r="I20" i="13"/>
  <c r="E19" i="13"/>
  <c r="E20" i="13"/>
  <c r="E21" i="13"/>
  <c r="H21" i="13"/>
  <c r="I22" i="13"/>
  <c r="I18" i="13"/>
  <c r="I25" i="13"/>
  <c r="D7" i="4"/>
  <c r="J8" i="4"/>
  <c r="C7" i="4"/>
  <c r="G8" i="4"/>
  <c r="E6" i="4"/>
  <c r="J11" i="13"/>
  <c r="D6" i="13"/>
  <c r="J6" i="13"/>
  <c r="H6" i="13"/>
  <c r="J19" i="13"/>
  <c r="K19" i="13"/>
  <c r="I6" i="13"/>
  <c r="H19" i="13"/>
  <c r="H11" i="13"/>
  <c r="P10" i="6"/>
  <c r="X10" i="6"/>
  <c r="I12" i="6"/>
  <c r="AB12" i="6"/>
  <c r="AE14" i="6"/>
  <c r="AF14" i="6"/>
  <c r="AE18" i="6"/>
  <c r="AF18" i="6"/>
  <c r="AE10" i="6"/>
  <c r="AE12" i="6"/>
  <c r="AF12" i="6"/>
  <c r="G11" i="6"/>
  <c r="AA11" i="6"/>
  <c r="P11" i="6"/>
  <c r="AE16" i="6"/>
  <c r="AF16" i="6"/>
  <c r="P12" i="6"/>
  <c r="E7" i="13"/>
  <c r="K20" i="13"/>
  <c r="G22" i="13"/>
  <c r="J23" i="13"/>
  <c r="K23" i="13"/>
  <c r="J22" i="13"/>
  <c r="G23" i="13"/>
  <c r="E22" i="13"/>
  <c r="D9" i="14"/>
  <c r="H9" i="14"/>
  <c r="J5" i="13"/>
  <c r="K5" i="13"/>
  <c r="J1" i="13"/>
  <c r="I1" i="13"/>
  <c r="D11" i="13"/>
  <c r="E11" i="13"/>
  <c r="K10" i="14"/>
  <c r="C10" i="14"/>
  <c r="B11" i="14"/>
  <c r="J11" i="14"/>
  <c r="I10" i="14"/>
  <c r="G14" i="11"/>
  <c r="D15" i="11"/>
  <c r="E15" i="11"/>
  <c r="S13" i="11"/>
  <c r="I30" i="13"/>
  <c r="I29" i="13"/>
  <c r="I26" i="13"/>
  <c r="I27" i="13"/>
  <c r="I28" i="13"/>
  <c r="J18" i="13"/>
  <c r="J25" i="13"/>
  <c r="J26" i="13"/>
  <c r="H18" i="13"/>
  <c r="H25" i="13"/>
  <c r="H30" i="13"/>
  <c r="D8" i="4"/>
  <c r="J9" i="4"/>
  <c r="C8" i="4"/>
  <c r="C9" i="4"/>
  <c r="G9" i="4"/>
  <c r="E7" i="4"/>
  <c r="E6" i="13"/>
  <c r="G1" i="13"/>
  <c r="K1" i="13"/>
  <c r="I5" i="13"/>
  <c r="I24" i="13"/>
  <c r="H1" i="13"/>
  <c r="H5" i="13"/>
  <c r="L6" i="13"/>
  <c r="L8" i="13"/>
  <c r="G5" i="13"/>
  <c r="G18" i="13"/>
  <c r="G25" i="13"/>
  <c r="AB10" i="6"/>
  <c r="AA12" i="6"/>
  <c r="AC62" i="6"/>
  <c r="AB11" i="6"/>
  <c r="AA10" i="6"/>
  <c r="X11" i="6"/>
  <c r="G13" i="6"/>
  <c r="X12" i="6"/>
  <c r="I13" i="6"/>
  <c r="H29" i="13"/>
  <c r="P13" i="6"/>
  <c r="J27" i="13"/>
  <c r="K18" i="13"/>
  <c r="G14" i="6"/>
  <c r="D10" i="14"/>
  <c r="H10" i="14"/>
  <c r="F9" i="14"/>
  <c r="H27" i="13"/>
  <c r="G24" i="13"/>
  <c r="H26" i="13"/>
  <c r="AB13" i="6"/>
  <c r="H31" i="13"/>
  <c r="H28" i="13"/>
  <c r="H24" i="13"/>
  <c r="I31" i="13"/>
  <c r="D5" i="13"/>
  <c r="K11" i="14"/>
  <c r="I11" i="14"/>
  <c r="C11" i="14"/>
  <c r="J12" i="14"/>
  <c r="B12" i="14"/>
  <c r="I14" i="11"/>
  <c r="S14" i="11"/>
  <c r="I15" i="11"/>
  <c r="D16" i="11"/>
  <c r="E16" i="11"/>
  <c r="G15" i="11"/>
  <c r="J28" i="13"/>
  <c r="J29" i="13"/>
  <c r="J24" i="13"/>
  <c r="J30" i="13"/>
  <c r="D9" i="4"/>
  <c r="J10" i="4"/>
  <c r="G10" i="4"/>
  <c r="E8" i="4"/>
  <c r="AA13" i="6"/>
  <c r="X13" i="6"/>
  <c r="I14" i="6"/>
  <c r="AA14" i="6"/>
  <c r="AB14" i="6"/>
  <c r="G15" i="6"/>
  <c r="K24" i="13"/>
  <c r="K25" i="13"/>
  <c r="P14" i="6"/>
  <c r="G27" i="13"/>
  <c r="G29" i="13"/>
  <c r="G28" i="13"/>
  <c r="G26" i="13"/>
  <c r="G30" i="13"/>
  <c r="D11" i="14"/>
  <c r="H11" i="14"/>
  <c r="F11" i="14"/>
  <c r="F10" i="14"/>
  <c r="J31" i="13"/>
  <c r="E5" i="13"/>
  <c r="D24" i="13"/>
  <c r="J13" i="14"/>
  <c r="C12" i="14"/>
  <c r="K12" i="14"/>
  <c r="I12" i="14"/>
  <c r="B13" i="14"/>
  <c r="H12" i="14"/>
  <c r="D18" i="11"/>
  <c r="E18" i="11"/>
  <c r="G16" i="11"/>
  <c r="S15" i="11"/>
  <c r="D10" i="4"/>
  <c r="G11" i="4"/>
  <c r="D11" i="4"/>
  <c r="J11" i="4"/>
  <c r="C10" i="4"/>
  <c r="E9" i="4"/>
  <c r="G31" i="13"/>
  <c r="AB15" i="6"/>
  <c r="AA15" i="6"/>
  <c r="P15" i="6"/>
  <c r="K29" i="13"/>
  <c r="K26" i="13"/>
  <c r="K28" i="13"/>
  <c r="K30" i="13"/>
  <c r="K27" i="13"/>
  <c r="X14" i="6"/>
  <c r="I15" i="6"/>
  <c r="G16" i="6"/>
  <c r="D12" i="14"/>
  <c r="I4" i="13"/>
  <c r="J4" i="13"/>
  <c r="G4" i="13"/>
  <c r="E24" i="13"/>
  <c r="K4" i="13"/>
  <c r="H4" i="13"/>
  <c r="B14" i="14"/>
  <c r="J14" i="14"/>
  <c r="C13" i="14"/>
  <c r="K13" i="14"/>
  <c r="I13" i="14"/>
  <c r="G18" i="11"/>
  <c r="D19" i="11"/>
  <c r="E19" i="11"/>
  <c r="I16" i="11"/>
  <c r="J12" i="4"/>
  <c r="C11" i="4"/>
  <c r="G12" i="4"/>
  <c r="D12" i="4"/>
  <c r="E10" i="4"/>
  <c r="K31" i="13"/>
  <c r="G17" i="6"/>
  <c r="AB16" i="6"/>
  <c r="AA16" i="6"/>
  <c r="X15" i="6"/>
  <c r="I16" i="6"/>
  <c r="P16" i="6"/>
  <c r="D13" i="14"/>
  <c r="H13" i="14"/>
  <c r="F13" i="14"/>
  <c r="F12" i="14"/>
  <c r="B15" i="14"/>
  <c r="C14" i="14"/>
  <c r="K14" i="14"/>
  <c r="J15" i="14"/>
  <c r="I14" i="14"/>
  <c r="G19" i="11"/>
  <c r="D20" i="11"/>
  <c r="E20" i="11"/>
  <c r="S16" i="11"/>
  <c r="S45" i="11"/>
  <c r="I18" i="11"/>
  <c r="J13" i="4"/>
  <c r="C12" i="4"/>
  <c r="G13" i="4"/>
  <c r="D13" i="4"/>
  <c r="E11" i="4"/>
  <c r="G18" i="6"/>
  <c r="P17" i="6"/>
  <c r="AA17" i="6"/>
  <c r="AB17" i="6"/>
  <c r="X16" i="6"/>
  <c r="I17" i="6"/>
  <c r="G15" i="14"/>
  <c r="G16" i="14"/>
  <c r="G17" i="14"/>
  <c r="D14" i="14"/>
  <c r="H14" i="14"/>
  <c r="F14" i="14"/>
  <c r="J16" i="14"/>
  <c r="H15" i="14"/>
  <c r="B16" i="14"/>
  <c r="C15" i="14"/>
  <c r="K15" i="14"/>
  <c r="I15" i="14"/>
  <c r="D21" i="11"/>
  <c r="E21" i="11"/>
  <c r="G20" i="11"/>
  <c r="S18" i="11"/>
  <c r="L22" i="11"/>
  <c r="L26" i="11"/>
  <c r="L30" i="11"/>
  <c r="L34" i="11"/>
  <c r="L18" i="11"/>
  <c r="I19" i="11"/>
  <c r="L20" i="11"/>
  <c r="L27" i="11"/>
  <c r="L33" i="11"/>
  <c r="L37" i="11"/>
  <c r="L19" i="11"/>
  <c r="L21" i="11"/>
  <c r="L23" i="11"/>
  <c r="L28" i="11"/>
  <c r="L35" i="11"/>
  <c r="L25" i="11"/>
  <c r="L36" i="11"/>
  <c r="L29" i="11"/>
  <c r="L32" i="11"/>
  <c r="L24" i="11"/>
  <c r="L31" i="11"/>
  <c r="C13" i="4"/>
  <c r="J14" i="4"/>
  <c r="G14" i="4"/>
  <c r="D14" i="4"/>
  <c r="E12" i="4"/>
  <c r="X17" i="6"/>
  <c r="I18" i="6"/>
  <c r="AA18" i="6"/>
  <c r="AB18" i="6"/>
  <c r="AB62" i="6"/>
  <c r="G19" i="6"/>
  <c r="P18" i="6"/>
  <c r="F15" i="14"/>
  <c r="D15" i="14"/>
  <c r="D16" i="14"/>
  <c r="D17" i="14"/>
  <c r="C16" i="14"/>
  <c r="K16" i="14"/>
  <c r="I16" i="14"/>
  <c r="J17" i="14"/>
  <c r="B17" i="14"/>
  <c r="H16" i="14"/>
  <c r="F16" i="14"/>
  <c r="G18" i="14"/>
  <c r="Q29" i="11"/>
  <c r="R29" i="11"/>
  <c r="Q28" i="11"/>
  <c r="R28" i="11"/>
  <c r="Q20" i="11"/>
  <c r="R20" i="11"/>
  <c r="Q30" i="11"/>
  <c r="R30" i="11"/>
  <c r="Q31" i="11"/>
  <c r="R31" i="11"/>
  <c r="Q36" i="11"/>
  <c r="Q23" i="11"/>
  <c r="R23" i="11"/>
  <c r="Q37" i="11"/>
  <c r="R37" i="11"/>
  <c r="I20" i="11"/>
  <c r="S19" i="11"/>
  <c r="V19" i="11"/>
  <c r="Q26" i="11"/>
  <c r="R26" i="11"/>
  <c r="G21" i="11"/>
  <c r="D22" i="11"/>
  <c r="E22" i="11"/>
  <c r="Q24" i="11"/>
  <c r="R24" i="11"/>
  <c r="Q25" i="11"/>
  <c r="R25" i="11"/>
  <c r="Q21" i="11"/>
  <c r="R21" i="11"/>
  <c r="Q33" i="11"/>
  <c r="Q18" i="11"/>
  <c r="L43" i="11"/>
  <c r="V18" i="11"/>
  <c r="Q22" i="11"/>
  <c r="R22" i="11"/>
  <c r="Q32" i="11"/>
  <c r="R32" i="11"/>
  <c r="Q35" i="11"/>
  <c r="R35" i="11"/>
  <c r="Q19" i="11"/>
  <c r="Q27" i="11"/>
  <c r="R27" i="11"/>
  <c r="Q34" i="11"/>
  <c r="T18" i="11"/>
  <c r="U18" i="11"/>
  <c r="J15" i="4"/>
  <c r="C14" i="4"/>
  <c r="C15" i="4"/>
  <c r="G15" i="4"/>
  <c r="D15" i="4"/>
  <c r="E13" i="4"/>
  <c r="O23" i="6"/>
  <c r="P19" i="6"/>
  <c r="AB5" i="6"/>
  <c r="X18" i="6"/>
  <c r="I19" i="6"/>
  <c r="G20" i="6"/>
  <c r="G23" i="6"/>
  <c r="J18" i="14"/>
  <c r="K17" i="14"/>
  <c r="I17" i="14"/>
  <c r="B18" i="14"/>
  <c r="H17" i="14"/>
  <c r="F17" i="14"/>
  <c r="C17" i="14"/>
  <c r="G19" i="14"/>
  <c r="D18" i="14"/>
  <c r="T19" i="11"/>
  <c r="U19" i="11"/>
  <c r="M19" i="11"/>
  <c r="N18" i="11"/>
  <c r="N44" i="11"/>
  <c r="Q44" i="11"/>
  <c r="Q43" i="11"/>
  <c r="M18" i="11"/>
  <c r="I21" i="11"/>
  <c r="S20" i="11"/>
  <c r="R18" i="11"/>
  <c r="R36" i="11"/>
  <c r="O18" i="11"/>
  <c r="R34" i="11"/>
  <c r="R19" i="11"/>
  <c r="W18" i="11"/>
  <c r="R33" i="11"/>
  <c r="G22" i="11"/>
  <c r="D23" i="11"/>
  <c r="E23" i="11"/>
  <c r="J16" i="4"/>
  <c r="G16" i="4"/>
  <c r="D16" i="4"/>
  <c r="E14" i="4"/>
  <c r="X19" i="6"/>
  <c r="I20" i="6"/>
  <c r="P20" i="6"/>
  <c r="G21" i="6"/>
  <c r="X18" i="11"/>
  <c r="G20" i="14"/>
  <c r="B19" i="14"/>
  <c r="H18" i="14"/>
  <c r="F18" i="14"/>
  <c r="K18" i="14"/>
  <c r="C18" i="14"/>
  <c r="D19" i="14"/>
  <c r="J19" i="14"/>
  <c r="I18" i="14"/>
  <c r="T20" i="11"/>
  <c r="U20" i="11"/>
  <c r="V20" i="11"/>
  <c r="R44" i="11"/>
  <c r="R43" i="11"/>
  <c r="S21" i="11"/>
  <c r="I22" i="11"/>
  <c r="G23" i="11"/>
  <c r="D24" i="11"/>
  <c r="E24" i="11"/>
  <c r="O19" i="11"/>
  <c r="J17" i="4"/>
  <c r="C16" i="4"/>
  <c r="G17" i="4"/>
  <c r="D17" i="4"/>
  <c r="E15" i="4"/>
  <c r="X20" i="6"/>
  <c r="I21" i="6"/>
  <c r="P21" i="6"/>
  <c r="G24" i="6"/>
  <c r="K19" i="14"/>
  <c r="C19" i="14"/>
  <c r="G21" i="14"/>
  <c r="J20" i="14"/>
  <c r="I19" i="14"/>
  <c r="D20" i="14"/>
  <c r="B20" i="14"/>
  <c r="H19" i="14"/>
  <c r="F19" i="14"/>
  <c r="T21" i="11"/>
  <c r="U21" i="11"/>
  <c r="V21" i="11"/>
  <c r="W20" i="11"/>
  <c r="D25" i="11"/>
  <c r="E25" i="11"/>
  <c r="G24" i="11"/>
  <c r="S22" i="11"/>
  <c r="I23" i="11"/>
  <c r="M20" i="11"/>
  <c r="C17" i="4"/>
  <c r="J18" i="4"/>
  <c r="G18" i="4"/>
  <c r="D18" i="4"/>
  <c r="E16" i="4"/>
  <c r="X24" i="6"/>
  <c r="X21" i="6"/>
  <c r="AD21" i="6"/>
  <c r="AD20" i="6"/>
  <c r="G25" i="6"/>
  <c r="U24" i="6"/>
  <c r="X20" i="11"/>
  <c r="D21" i="14"/>
  <c r="K20" i="14"/>
  <c r="I20" i="14"/>
  <c r="C20" i="14"/>
  <c r="J21" i="14"/>
  <c r="B21" i="14"/>
  <c r="H20" i="14"/>
  <c r="F20" i="14"/>
  <c r="G22" i="14"/>
  <c r="D26" i="11"/>
  <c r="E26" i="11"/>
  <c r="G25" i="11"/>
  <c r="S23" i="11"/>
  <c r="I24" i="11"/>
  <c r="T22" i="11"/>
  <c r="U22" i="11"/>
  <c r="V22" i="11"/>
  <c r="M21" i="11"/>
  <c r="J19" i="4"/>
  <c r="C18" i="4"/>
  <c r="G19" i="4"/>
  <c r="D19" i="4"/>
  <c r="E17" i="4"/>
  <c r="AE20" i="6"/>
  <c r="AF20" i="6"/>
  <c r="X25" i="6"/>
  <c r="G26" i="6"/>
  <c r="O21" i="11"/>
  <c r="V24" i="6"/>
  <c r="W24" i="6"/>
  <c r="U25" i="6"/>
  <c r="AD23" i="6"/>
  <c r="C21" i="14"/>
  <c r="K21" i="14"/>
  <c r="I21" i="14"/>
  <c r="G23" i="14"/>
  <c r="H21" i="14"/>
  <c r="F21" i="14"/>
  <c r="B22" i="14"/>
  <c r="D22" i="14"/>
  <c r="J22" i="14"/>
  <c r="V23" i="11"/>
  <c r="W22" i="11"/>
  <c r="G26" i="11"/>
  <c r="D27" i="11"/>
  <c r="E27" i="11"/>
  <c r="M22" i="11"/>
  <c r="I25" i="11"/>
  <c r="S24" i="11"/>
  <c r="T23" i="11"/>
  <c r="J20" i="4"/>
  <c r="C19" i="4"/>
  <c r="G20" i="4"/>
  <c r="D20" i="4"/>
  <c r="E18" i="4"/>
  <c r="X26" i="6"/>
  <c r="G27" i="6"/>
  <c r="U26" i="6"/>
  <c r="V25" i="6"/>
  <c r="W25" i="6"/>
  <c r="D23" i="14"/>
  <c r="B23" i="14"/>
  <c r="H22" i="14"/>
  <c r="F22" i="14"/>
  <c r="C22" i="14"/>
  <c r="K22" i="14"/>
  <c r="J23" i="14"/>
  <c r="I22" i="14"/>
  <c r="G24" i="14"/>
  <c r="M23" i="11"/>
  <c r="D28" i="11"/>
  <c r="E28" i="11"/>
  <c r="G27" i="11"/>
  <c r="U23" i="11"/>
  <c r="T24" i="11"/>
  <c r="O23" i="11"/>
  <c r="V24" i="11"/>
  <c r="X22" i="11"/>
  <c r="S25" i="11"/>
  <c r="I26" i="11"/>
  <c r="J21" i="4"/>
  <c r="C20" i="4"/>
  <c r="G21" i="4"/>
  <c r="D21" i="4"/>
  <c r="E19" i="4"/>
  <c r="G28" i="6"/>
  <c r="X27" i="6"/>
  <c r="AD24" i="6"/>
  <c r="AE23" i="6"/>
  <c r="U27" i="6"/>
  <c r="V26" i="6"/>
  <c r="W26" i="6"/>
  <c r="S24" i="6"/>
  <c r="Q24" i="6"/>
  <c r="AF23" i="6"/>
  <c r="G25" i="14"/>
  <c r="J24" i="14"/>
  <c r="H23" i="14"/>
  <c r="F23" i="14"/>
  <c r="B24" i="14"/>
  <c r="D24" i="14"/>
  <c r="C23" i="14"/>
  <c r="K23" i="14"/>
  <c r="I23" i="14"/>
  <c r="S26" i="11"/>
  <c r="I27" i="11"/>
  <c r="D29" i="11"/>
  <c r="E29" i="11"/>
  <c r="G28" i="11"/>
  <c r="T25" i="11"/>
  <c r="U25" i="11"/>
  <c r="V25" i="11"/>
  <c r="W24" i="11"/>
  <c r="M24" i="11"/>
  <c r="U24" i="11"/>
  <c r="J22" i="4"/>
  <c r="C21" i="4"/>
  <c r="G22" i="4"/>
  <c r="D22" i="4"/>
  <c r="E20" i="4"/>
  <c r="X28" i="6"/>
  <c r="G29" i="6"/>
  <c r="V27" i="6"/>
  <c r="U28" i="6"/>
  <c r="X24" i="11"/>
  <c r="B25" i="14"/>
  <c r="H24" i="14"/>
  <c r="F24" i="14"/>
  <c r="C24" i="14"/>
  <c r="K24" i="14"/>
  <c r="I24" i="14"/>
  <c r="D25" i="14"/>
  <c r="J25" i="14"/>
  <c r="T26" i="11"/>
  <c r="V26" i="11"/>
  <c r="G29" i="11"/>
  <c r="D30" i="11"/>
  <c r="E30" i="11"/>
  <c r="O25" i="11"/>
  <c r="M25" i="11"/>
  <c r="S27" i="11"/>
  <c r="I28" i="11"/>
  <c r="J23" i="4"/>
  <c r="C22" i="4"/>
  <c r="G23" i="4"/>
  <c r="D23" i="4"/>
  <c r="E21" i="4"/>
  <c r="AD25" i="6"/>
  <c r="X29" i="6"/>
  <c r="G30" i="6"/>
  <c r="AD26" i="6"/>
  <c r="V28" i="6"/>
  <c r="W28" i="6"/>
  <c r="U29" i="6"/>
  <c r="W27" i="6"/>
  <c r="K25" i="14"/>
  <c r="I25" i="14"/>
  <c r="C25" i="14"/>
  <c r="H25" i="14"/>
  <c r="F25" i="14"/>
  <c r="I29" i="11"/>
  <c r="S28" i="11"/>
  <c r="M26" i="11"/>
  <c r="T27" i="11"/>
  <c r="X26" i="11"/>
  <c r="V27" i="11"/>
  <c r="W26" i="11"/>
  <c r="G30" i="11"/>
  <c r="D31" i="11"/>
  <c r="E31" i="11"/>
  <c r="U26" i="11"/>
  <c r="J24" i="4"/>
  <c r="C23" i="4"/>
  <c r="G24" i="4"/>
  <c r="D24" i="4"/>
  <c r="E22" i="4"/>
  <c r="B6" i="4"/>
  <c r="H6" i="4"/>
  <c r="AE24" i="6"/>
  <c r="X30" i="6"/>
  <c r="G31" i="6"/>
  <c r="AD27" i="6"/>
  <c r="AE26" i="6"/>
  <c r="Q25" i="6"/>
  <c r="AF24" i="6"/>
  <c r="U30" i="6"/>
  <c r="V29" i="6"/>
  <c r="W29" i="6"/>
  <c r="U27" i="11"/>
  <c r="G31" i="11"/>
  <c r="D32" i="11"/>
  <c r="E32" i="11"/>
  <c r="S29" i="11"/>
  <c r="I30" i="11"/>
  <c r="T28" i="11"/>
  <c r="O27" i="11"/>
  <c r="M27" i="11"/>
  <c r="U28" i="11"/>
  <c r="V28" i="11"/>
  <c r="F6" i="4"/>
  <c r="J25" i="4"/>
  <c r="C24" i="4"/>
  <c r="K6" i="4"/>
  <c r="I6" i="4"/>
  <c r="G25" i="4"/>
  <c r="E23" i="4"/>
  <c r="B7" i="4"/>
  <c r="X31" i="6"/>
  <c r="AD28" i="6"/>
  <c r="G32" i="6"/>
  <c r="U31" i="6"/>
  <c r="V30" i="6"/>
  <c r="W30" i="6"/>
  <c r="D33" i="11"/>
  <c r="E33" i="11"/>
  <c r="G32" i="11"/>
  <c r="S30" i="11"/>
  <c r="I31" i="11"/>
  <c r="M28" i="11"/>
  <c r="T29" i="11"/>
  <c r="V29" i="11"/>
  <c r="W28" i="11"/>
  <c r="J26" i="4"/>
  <c r="D25" i="4"/>
  <c r="C25" i="4"/>
  <c r="K7" i="4"/>
  <c r="I7" i="4"/>
  <c r="H7" i="4"/>
  <c r="G26" i="4"/>
  <c r="B8" i="4"/>
  <c r="E24" i="4"/>
  <c r="AF26" i="6"/>
  <c r="G33" i="6"/>
  <c r="X32" i="6"/>
  <c r="AD29" i="6"/>
  <c r="AE28" i="6"/>
  <c r="V31" i="6"/>
  <c r="W31" i="6"/>
  <c r="U32" i="6"/>
  <c r="Q27" i="6"/>
  <c r="T30" i="11"/>
  <c r="O29" i="11"/>
  <c r="M29" i="11"/>
  <c r="I32" i="11"/>
  <c r="S31" i="11"/>
  <c r="D34" i="11"/>
  <c r="E34" i="11"/>
  <c r="G33" i="11"/>
  <c r="U29" i="11"/>
  <c r="U30" i="11"/>
  <c r="V30" i="11"/>
  <c r="X28" i="11"/>
  <c r="F7" i="4"/>
  <c r="D26" i="4"/>
  <c r="C26" i="4"/>
  <c r="J27" i="4"/>
  <c r="K8" i="4"/>
  <c r="I8" i="4"/>
  <c r="H8" i="4"/>
  <c r="F8" i="4"/>
  <c r="G27" i="4"/>
  <c r="E25" i="4"/>
  <c r="B9" i="4"/>
  <c r="S27" i="6"/>
  <c r="AD30" i="6"/>
  <c r="X33" i="6"/>
  <c r="G34" i="6"/>
  <c r="V32" i="6"/>
  <c r="W32" i="6"/>
  <c r="U33" i="6"/>
  <c r="G34" i="11"/>
  <c r="D35" i="11"/>
  <c r="E35" i="11"/>
  <c r="M30" i="11"/>
  <c r="T31" i="11"/>
  <c r="U31" i="11"/>
  <c r="V31" i="11"/>
  <c r="W30" i="11"/>
  <c r="I33" i="11"/>
  <c r="S32" i="11"/>
  <c r="D27" i="4"/>
  <c r="J28" i="4"/>
  <c r="C27" i="4"/>
  <c r="K9" i="4"/>
  <c r="I9" i="4"/>
  <c r="H9" i="4"/>
  <c r="F9" i="4"/>
  <c r="G28" i="4"/>
  <c r="D28" i="4"/>
  <c r="E26" i="4"/>
  <c r="B10" i="4"/>
  <c r="G35" i="6"/>
  <c r="X34" i="6"/>
  <c r="AF28" i="6"/>
  <c r="X30" i="11"/>
  <c r="U34" i="6"/>
  <c r="V33" i="6"/>
  <c r="W33" i="6"/>
  <c r="T32" i="11"/>
  <c r="V32" i="11"/>
  <c r="S33" i="11"/>
  <c r="I34" i="11"/>
  <c r="O31" i="11"/>
  <c r="M31" i="11"/>
  <c r="D36" i="11"/>
  <c r="E36" i="11"/>
  <c r="G35" i="11"/>
  <c r="J29" i="4"/>
  <c r="C28" i="4"/>
  <c r="K10" i="4"/>
  <c r="I10" i="4"/>
  <c r="H10" i="4"/>
  <c r="F10" i="4"/>
  <c r="G29" i="4"/>
  <c r="E27" i="4"/>
  <c r="B11" i="4"/>
  <c r="Q29" i="6"/>
  <c r="S29" i="6"/>
  <c r="AD32" i="6"/>
  <c r="G36" i="6"/>
  <c r="AD31" i="6"/>
  <c r="AE30" i="6"/>
  <c r="X35" i="6"/>
  <c r="U35" i="6"/>
  <c r="V34" i="6"/>
  <c r="W34" i="6"/>
  <c r="M32" i="11"/>
  <c r="S34" i="11"/>
  <c r="I35" i="11"/>
  <c r="U32" i="11"/>
  <c r="D37" i="11"/>
  <c r="E37" i="11"/>
  <c r="G37" i="11"/>
  <c r="G36" i="11"/>
  <c r="T33" i="11"/>
  <c r="U33" i="11"/>
  <c r="V33" i="11"/>
  <c r="W32" i="11"/>
  <c r="J30" i="4"/>
  <c r="D29" i="4"/>
  <c r="C29" i="4"/>
  <c r="K11" i="4"/>
  <c r="I11" i="4"/>
  <c r="H11" i="4"/>
  <c r="F11" i="4"/>
  <c r="G30" i="4"/>
  <c r="B12" i="4"/>
  <c r="E28" i="4"/>
  <c r="G37" i="6"/>
  <c r="Q31" i="6"/>
  <c r="AF30" i="6"/>
  <c r="X36" i="6"/>
  <c r="AD33" i="6"/>
  <c r="AE32" i="6"/>
  <c r="V35" i="6"/>
  <c r="W35" i="6"/>
  <c r="U36" i="6"/>
  <c r="X32" i="11"/>
  <c r="M33" i="11"/>
  <c r="I36" i="11"/>
  <c r="S35" i="11"/>
  <c r="T34" i="11"/>
  <c r="U34" i="11"/>
  <c r="V34" i="11"/>
  <c r="D30" i="4"/>
  <c r="C30" i="4"/>
  <c r="J31" i="4"/>
  <c r="K12" i="4"/>
  <c r="I12" i="4"/>
  <c r="H12" i="4"/>
  <c r="F12" i="4"/>
  <c r="G31" i="4"/>
  <c r="B13" i="4"/>
  <c r="E29" i="4"/>
  <c r="S31" i="6"/>
  <c r="X37" i="6"/>
  <c r="G38" i="6"/>
  <c r="V36" i="6"/>
  <c r="W36" i="6"/>
  <c r="U37" i="6"/>
  <c r="M34" i="11"/>
  <c r="O33" i="11"/>
  <c r="T35" i="11"/>
  <c r="X34" i="11"/>
  <c r="V35" i="11"/>
  <c r="W34" i="11"/>
  <c r="I37" i="11"/>
  <c r="S36" i="11"/>
  <c r="D31" i="4"/>
  <c r="J32" i="4"/>
  <c r="C31" i="4"/>
  <c r="K13" i="4"/>
  <c r="I13" i="4"/>
  <c r="H13" i="4"/>
  <c r="F13" i="4"/>
  <c r="G32" i="4"/>
  <c r="D32" i="4"/>
  <c r="E30" i="4"/>
  <c r="B14" i="4"/>
  <c r="G39" i="6"/>
  <c r="AD34" i="6"/>
  <c r="X38" i="6"/>
  <c r="AD35" i="6"/>
  <c r="AF32" i="6"/>
  <c r="AE34" i="6"/>
  <c r="U38" i="6"/>
  <c r="V37" i="6"/>
  <c r="W37" i="6"/>
  <c r="U35" i="11"/>
  <c r="T36" i="11"/>
  <c r="U36" i="11"/>
  <c r="V36" i="11"/>
  <c r="S37" i="11"/>
  <c r="I43" i="11"/>
  <c r="O35" i="11"/>
  <c r="M35" i="11"/>
  <c r="J33" i="4"/>
  <c r="C32" i="4"/>
  <c r="K14" i="4"/>
  <c r="I14" i="4"/>
  <c r="H14" i="4"/>
  <c r="F14" i="4"/>
  <c r="G33" i="4"/>
  <c r="D33" i="4"/>
  <c r="E31" i="4"/>
  <c r="B15" i="4"/>
  <c r="X39" i="6"/>
  <c r="G40" i="6"/>
  <c r="AD36" i="6"/>
  <c r="S33" i="6"/>
  <c r="Q33" i="6"/>
  <c r="U39" i="6"/>
  <c r="V38" i="6"/>
  <c r="W38" i="6"/>
  <c r="M36" i="11"/>
  <c r="T37" i="11"/>
  <c r="X36" i="11"/>
  <c r="V37" i="11"/>
  <c r="V44" i="11"/>
  <c r="S44" i="11"/>
  <c r="S43" i="11"/>
  <c r="J34" i="4"/>
  <c r="C33" i="4"/>
  <c r="K15" i="4"/>
  <c r="I15" i="4"/>
  <c r="H15" i="4"/>
  <c r="F15" i="4"/>
  <c r="G34" i="4"/>
  <c r="D34" i="4"/>
  <c r="B16" i="4"/>
  <c r="E32" i="4"/>
  <c r="AF34" i="6"/>
  <c r="X40" i="6"/>
  <c r="S35" i="6"/>
  <c r="Q35" i="6"/>
  <c r="G41" i="6"/>
  <c r="V39" i="6"/>
  <c r="W39" i="6"/>
  <c r="U40" i="6"/>
  <c r="X38" i="11"/>
  <c r="X43" i="11"/>
  <c r="W36" i="11"/>
  <c r="O37" i="11"/>
  <c r="O44" i="11"/>
  <c r="M44" i="11"/>
  <c r="M37" i="11"/>
  <c r="T44" i="11"/>
  <c r="T43" i="11"/>
  <c r="U37" i="11"/>
  <c r="J35" i="4"/>
  <c r="C34" i="4"/>
  <c r="K16" i="4"/>
  <c r="I16" i="4"/>
  <c r="H16" i="4"/>
  <c r="F16" i="4"/>
  <c r="G35" i="4"/>
  <c r="D35" i="4"/>
  <c r="B17" i="4"/>
  <c r="E33" i="4"/>
  <c r="G42" i="6"/>
  <c r="X41" i="6"/>
  <c r="AF36" i="6"/>
  <c r="AD37" i="6"/>
  <c r="AE36" i="6"/>
  <c r="V40" i="6"/>
  <c r="W40" i="6"/>
  <c r="U41" i="6"/>
  <c r="U44" i="11"/>
  <c r="U43" i="11"/>
  <c r="W38" i="11"/>
  <c r="W43" i="11"/>
  <c r="J36" i="4"/>
  <c r="C35" i="4"/>
  <c r="K17" i="4"/>
  <c r="I17" i="4"/>
  <c r="H17" i="4"/>
  <c r="F17" i="4"/>
  <c r="G36" i="4"/>
  <c r="D36" i="4"/>
  <c r="B18" i="4"/>
  <c r="E34" i="4"/>
  <c r="AD39" i="6"/>
  <c r="G43" i="6"/>
  <c r="X42" i="6"/>
  <c r="AD38" i="6"/>
  <c r="U42" i="6"/>
  <c r="V41" i="6"/>
  <c r="W41" i="6"/>
  <c r="J37" i="4"/>
  <c r="C36" i="4"/>
  <c r="K18" i="4"/>
  <c r="I18" i="4"/>
  <c r="H18" i="4"/>
  <c r="F18" i="4"/>
  <c r="G37" i="4"/>
  <c r="D37" i="4"/>
  <c r="E35" i="4"/>
  <c r="B19" i="4"/>
  <c r="AE38" i="6"/>
  <c r="AD40" i="6"/>
  <c r="S37" i="6"/>
  <c r="Q37" i="6"/>
  <c r="G44" i="6"/>
  <c r="X43" i="6"/>
  <c r="U43" i="6"/>
  <c r="V42" i="6"/>
  <c r="W42" i="6"/>
  <c r="J38" i="4"/>
  <c r="C37" i="4"/>
  <c r="K19" i="4"/>
  <c r="I19" i="4"/>
  <c r="H19" i="4"/>
  <c r="F19" i="4"/>
  <c r="G38" i="4"/>
  <c r="D38" i="4"/>
  <c r="B20" i="4"/>
  <c r="E36" i="4"/>
  <c r="G45" i="6"/>
  <c r="X44" i="6"/>
  <c r="AD41" i="6"/>
  <c r="AE40" i="6"/>
  <c r="AF38" i="6"/>
  <c r="V43" i="6"/>
  <c r="W43" i="6"/>
  <c r="U44" i="6"/>
  <c r="J39" i="4"/>
  <c r="C38" i="4"/>
  <c r="K20" i="4"/>
  <c r="I20" i="4"/>
  <c r="H20" i="4"/>
  <c r="F20" i="4"/>
  <c r="G39" i="4"/>
  <c r="D39" i="4"/>
  <c r="B21" i="4"/>
  <c r="E37" i="4"/>
  <c r="S39" i="6"/>
  <c r="Q39" i="6"/>
  <c r="X45" i="6"/>
  <c r="G46" i="6"/>
  <c r="AD42" i="6"/>
  <c r="V44" i="6"/>
  <c r="W44" i="6"/>
  <c r="U45" i="6"/>
  <c r="J40" i="4"/>
  <c r="C39" i="4"/>
  <c r="K21" i="4"/>
  <c r="I21" i="4"/>
  <c r="H21" i="4"/>
  <c r="F21" i="4"/>
  <c r="G40" i="4"/>
  <c r="D40" i="4"/>
  <c r="B22" i="4"/>
  <c r="E38" i="4"/>
  <c r="G47" i="6"/>
  <c r="R41" i="6"/>
  <c r="X46" i="6"/>
  <c r="AF40" i="6"/>
  <c r="U46" i="6"/>
  <c r="V45" i="6"/>
  <c r="W45" i="6"/>
  <c r="J41" i="4"/>
  <c r="C40" i="4"/>
  <c r="K22" i="4"/>
  <c r="I22" i="4"/>
  <c r="H22" i="4"/>
  <c r="F22" i="4"/>
  <c r="G41" i="4"/>
  <c r="D41" i="4"/>
  <c r="E39" i="4"/>
  <c r="B23" i="4"/>
  <c r="AD43" i="6"/>
  <c r="AE42" i="6"/>
  <c r="S41" i="6"/>
  <c r="Q41" i="6"/>
  <c r="X47" i="6"/>
  <c r="G48" i="6"/>
  <c r="U47" i="6"/>
  <c r="V46" i="6"/>
  <c r="W46" i="6"/>
  <c r="J42" i="4"/>
  <c r="C41" i="4"/>
  <c r="K23" i="4"/>
  <c r="I23" i="4"/>
  <c r="H23" i="4"/>
  <c r="F23" i="4"/>
  <c r="G42" i="4"/>
  <c r="D42" i="4"/>
  <c r="B24" i="4"/>
  <c r="E40" i="4"/>
  <c r="AF42" i="6"/>
  <c r="X48" i="6"/>
  <c r="G49" i="6"/>
  <c r="R43" i="6"/>
  <c r="AD44" i="6"/>
  <c r="V47" i="6"/>
  <c r="W47" i="6"/>
  <c r="U48" i="6"/>
  <c r="G26" i="14"/>
  <c r="J43" i="4"/>
  <c r="C42" i="4"/>
  <c r="K24" i="4"/>
  <c r="I24" i="4"/>
  <c r="H24" i="4"/>
  <c r="F24" i="4"/>
  <c r="G43" i="4"/>
  <c r="D43" i="4"/>
  <c r="B25" i="4"/>
  <c r="E41" i="4"/>
  <c r="G50" i="6"/>
  <c r="X49" i="6"/>
  <c r="S43" i="6"/>
  <c r="Q43" i="6"/>
  <c r="AD45" i="6"/>
  <c r="AE44" i="6"/>
  <c r="R45" i="6"/>
  <c r="V48" i="6"/>
  <c r="W48" i="6"/>
  <c r="U49" i="6"/>
  <c r="H26" i="14"/>
  <c r="F26" i="14"/>
  <c r="J44" i="4"/>
  <c r="C43" i="4"/>
  <c r="K25" i="4"/>
  <c r="I25" i="4"/>
  <c r="H25" i="4"/>
  <c r="F25" i="4"/>
  <c r="G44" i="4"/>
  <c r="D44" i="4"/>
  <c r="B26" i="4"/>
  <c r="E42" i="4"/>
  <c r="AF44" i="6"/>
  <c r="AD47" i="6"/>
  <c r="G51" i="6"/>
  <c r="AD46" i="6"/>
  <c r="X50" i="6"/>
  <c r="U50" i="6"/>
  <c r="V49" i="6"/>
  <c r="W49" i="6"/>
  <c r="J45" i="4"/>
  <c r="G45" i="4"/>
  <c r="G46" i="4"/>
  <c r="C44" i="4"/>
  <c r="K26" i="4"/>
  <c r="I26" i="4"/>
  <c r="H26" i="4"/>
  <c r="F26" i="4"/>
  <c r="E43" i="4"/>
  <c r="B27" i="4"/>
  <c r="AE46" i="6"/>
  <c r="G52" i="6"/>
  <c r="S45" i="6"/>
  <c r="Q45" i="6"/>
  <c r="AD48" i="6"/>
  <c r="R47" i="6"/>
  <c r="AF46" i="6"/>
  <c r="X51" i="6"/>
  <c r="U51" i="6"/>
  <c r="V50" i="6"/>
  <c r="W50" i="6"/>
  <c r="C45" i="4"/>
  <c r="D45" i="4"/>
  <c r="K27" i="4"/>
  <c r="I27" i="4"/>
  <c r="H27" i="4"/>
  <c r="F27" i="4"/>
  <c r="B28" i="4"/>
  <c r="E44" i="4"/>
  <c r="G53" i="6"/>
  <c r="X52" i="6"/>
  <c r="R49" i="6"/>
  <c r="AD49" i="6"/>
  <c r="AE48" i="6"/>
  <c r="V51" i="6"/>
  <c r="W51" i="6"/>
  <c r="U52" i="6"/>
  <c r="K28" i="4"/>
  <c r="I28" i="4"/>
  <c r="H28" i="4"/>
  <c r="F28" i="4"/>
  <c r="B29" i="4"/>
  <c r="E45" i="4"/>
  <c r="R51" i="6"/>
  <c r="S47" i="6"/>
  <c r="Q47" i="6"/>
  <c r="X53" i="6"/>
  <c r="AD50" i="6"/>
  <c r="G54" i="6"/>
  <c r="V52" i="6"/>
  <c r="W52" i="6"/>
  <c r="U53" i="6"/>
  <c r="K29" i="4"/>
  <c r="I29" i="4"/>
  <c r="H29" i="4"/>
  <c r="F29" i="4"/>
  <c r="B30" i="4"/>
  <c r="G55" i="6"/>
  <c r="AD51" i="6"/>
  <c r="AE50" i="6"/>
  <c r="AF48" i="6"/>
  <c r="X54" i="6"/>
  <c r="R53" i="6"/>
  <c r="U54" i="6"/>
  <c r="V53" i="6"/>
  <c r="W53" i="6"/>
  <c r="K30" i="4"/>
  <c r="I30" i="4"/>
  <c r="H30" i="4"/>
  <c r="F30" i="4"/>
  <c r="B31" i="4"/>
  <c r="S49" i="6"/>
  <c r="Q49" i="6"/>
  <c r="X55" i="6"/>
  <c r="AD52" i="6"/>
  <c r="G56" i="6"/>
  <c r="U55" i="6"/>
  <c r="V54" i="6"/>
  <c r="W54" i="6"/>
  <c r="K31" i="4"/>
  <c r="I31" i="4"/>
  <c r="H31" i="4"/>
  <c r="F31" i="4"/>
  <c r="B32" i="4"/>
  <c r="AF50" i="6"/>
  <c r="X56" i="6"/>
  <c r="G57" i="6"/>
  <c r="AD53" i="6"/>
  <c r="AE52" i="6"/>
  <c r="V55" i="6"/>
  <c r="W55" i="6"/>
  <c r="U56" i="6"/>
  <c r="K32" i="4"/>
  <c r="I32" i="4"/>
  <c r="H32" i="4"/>
  <c r="F32" i="4"/>
  <c r="B33" i="4"/>
  <c r="AD54" i="6"/>
  <c r="G58" i="6"/>
  <c r="X57" i="6"/>
  <c r="S51" i="6"/>
  <c r="Q51" i="6"/>
  <c r="V56" i="6"/>
  <c r="W56" i="6"/>
  <c r="U57" i="6"/>
  <c r="K33" i="4"/>
  <c r="I33" i="4"/>
  <c r="H33" i="4"/>
  <c r="F33" i="4"/>
  <c r="B34" i="4"/>
  <c r="X58" i="6"/>
  <c r="G59" i="6"/>
  <c r="AF52" i="6"/>
  <c r="U58" i="6"/>
  <c r="V57" i="6"/>
  <c r="W57" i="6"/>
  <c r="K34" i="4"/>
  <c r="I34" i="4"/>
  <c r="H34" i="4"/>
  <c r="F34" i="4"/>
  <c r="B35" i="4"/>
  <c r="AF54" i="6"/>
  <c r="X59" i="6"/>
  <c r="AD55" i="6"/>
  <c r="AE54" i="6"/>
  <c r="G60" i="6"/>
  <c r="G61" i="6"/>
  <c r="S53" i="6"/>
  <c r="Q53" i="6"/>
  <c r="U59" i="6"/>
  <c r="V58" i="6"/>
  <c r="W58" i="6"/>
  <c r="R55" i="6"/>
  <c r="R57" i="6"/>
  <c r="K35" i="4"/>
  <c r="I35" i="4"/>
  <c r="H35" i="4"/>
  <c r="F35" i="4"/>
  <c r="B36" i="4"/>
  <c r="S55" i="6"/>
  <c r="AD56" i="6"/>
  <c r="X61" i="6"/>
  <c r="X60" i="6"/>
  <c r="X81" i="6"/>
  <c r="V59" i="6"/>
  <c r="W59" i="6"/>
  <c r="U60" i="6"/>
  <c r="Q55" i="6"/>
  <c r="K36" i="4"/>
  <c r="I36" i="4"/>
  <c r="H36" i="4"/>
  <c r="F36" i="4"/>
  <c r="B37" i="4"/>
  <c r="R59" i="6"/>
  <c r="AD58" i="6"/>
  <c r="P64" i="6"/>
  <c r="P65" i="6"/>
  <c r="P63" i="6"/>
  <c r="AD57" i="6"/>
  <c r="AE56" i="6"/>
  <c r="V60" i="6"/>
  <c r="W60" i="6"/>
  <c r="U61" i="6"/>
  <c r="K37" i="4"/>
  <c r="I37" i="4"/>
  <c r="H37" i="4"/>
  <c r="F37" i="4"/>
  <c r="B38" i="4"/>
  <c r="AF56" i="6"/>
  <c r="S57" i="6"/>
  <c r="Q57" i="6"/>
  <c r="AD59" i="6"/>
  <c r="AE58" i="6"/>
  <c r="V61" i="6"/>
  <c r="W61" i="6"/>
  <c r="U63" i="6"/>
  <c r="K38" i="4"/>
  <c r="I38" i="4"/>
  <c r="H38" i="4"/>
  <c r="F38" i="4"/>
  <c r="B39" i="4"/>
  <c r="AD60" i="6"/>
  <c r="V63" i="6"/>
  <c r="V76" i="6"/>
  <c r="U66" i="6"/>
  <c r="K39" i="4"/>
  <c r="I39" i="4"/>
  <c r="H39" i="4"/>
  <c r="F39" i="4"/>
  <c r="B40" i="4"/>
  <c r="R61" i="6"/>
  <c r="AD61" i="6"/>
  <c r="I62" i="6"/>
  <c r="AF58" i="6"/>
  <c r="W63" i="6"/>
  <c r="W76" i="6"/>
  <c r="K40" i="4"/>
  <c r="I40" i="4"/>
  <c r="H40" i="4"/>
  <c r="F40" i="4"/>
  <c r="B41" i="4"/>
  <c r="S59" i="6"/>
  <c r="Q59" i="6"/>
  <c r="AE60" i="6"/>
  <c r="AD63" i="6"/>
  <c r="AD64" i="6"/>
  <c r="X63" i="6"/>
  <c r="R85" i="6"/>
  <c r="K41" i="4"/>
  <c r="I41" i="4"/>
  <c r="H41" i="4"/>
  <c r="F41" i="4"/>
  <c r="B42" i="4"/>
  <c r="X66" i="6"/>
  <c r="Y63" i="6"/>
  <c r="Y76" i="6"/>
  <c r="S61" i="6"/>
  <c r="AF60" i="6"/>
  <c r="AE63" i="6"/>
  <c r="AE65" i="6"/>
  <c r="AE66" i="6"/>
  <c r="AE67" i="6"/>
  <c r="K42" i="4"/>
  <c r="I42" i="4"/>
  <c r="H42" i="4"/>
  <c r="F42" i="4"/>
  <c r="B43" i="4"/>
  <c r="Z63" i="6"/>
  <c r="Z76" i="6"/>
  <c r="S85" i="6"/>
  <c r="Q61" i="6"/>
  <c r="Q85" i="6"/>
  <c r="AF63" i="6"/>
  <c r="AF66" i="6"/>
  <c r="AF67" i="6"/>
  <c r="AF65" i="6"/>
  <c r="K43" i="4"/>
  <c r="I43" i="4"/>
  <c r="H43" i="4"/>
  <c r="F43" i="4"/>
  <c r="B44" i="4"/>
  <c r="K44" i="4"/>
  <c r="I44" i="4"/>
  <c r="H44" i="4"/>
  <c r="F44" i="4"/>
  <c r="B45" i="4"/>
  <c r="K45" i="4"/>
  <c r="I45" i="4"/>
  <c r="H45" i="4"/>
  <c r="F45" i="4"/>
  <c r="F46" i="4"/>
  <c r="H46" i="4"/>
</calcChain>
</file>

<file path=xl/sharedStrings.xml><?xml version="1.0" encoding="utf-8"?>
<sst xmlns="http://schemas.openxmlformats.org/spreadsheetml/2006/main" count="162" uniqueCount="97">
  <si>
    <t>Trong đó</t>
  </si>
  <si>
    <t>STT</t>
  </si>
  <si>
    <t>I</t>
  </si>
  <si>
    <t>II</t>
  </si>
  <si>
    <t>Trả nợ gốc</t>
  </si>
  <si>
    <t>Giai đoạn</t>
  </si>
  <si>
    <t>Số ngày</t>
  </si>
  <si>
    <t>Giải ngân</t>
  </si>
  <si>
    <t>Lãi suất</t>
  </si>
  <si>
    <t>Tổng nợ phải trả</t>
  </si>
  <si>
    <t>Thời gian ân hạn</t>
  </si>
  <si>
    <t>Tổng khoản vay</t>
  </si>
  <si>
    <t>USD</t>
  </si>
  <si>
    <t>tỷ VND</t>
  </si>
  <si>
    <t>TỶ VND</t>
  </si>
  <si>
    <t>Trả nợ max</t>
  </si>
  <si>
    <t>Trả nợ min</t>
  </si>
  <si>
    <t>Trả nợ TB</t>
  </si>
  <si>
    <t xml:space="preserve">Tổng nợ phải trả theo năm </t>
  </si>
  <si>
    <t>Tổng số tỉnh trả theo năm quy đổi triệu VND</t>
  </si>
  <si>
    <t>Phí cam kết</t>
  </si>
  <si>
    <t>Phí bổ sung</t>
  </si>
  <si>
    <t>Tổng nợ phải trả theo năm</t>
  </si>
  <si>
    <t>Max</t>
  </si>
  <si>
    <t>Tổng phải trả</t>
  </si>
  <si>
    <t>Min</t>
  </si>
  <si>
    <t>Tỷ lệ trên khoản vay</t>
  </si>
  <si>
    <t>Trung bình</t>
  </si>
  <si>
    <t>Gốc</t>
  </si>
  <si>
    <t>Lãi</t>
  </si>
  <si>
    <t>Tổng cộng</t>
  </si>
  <si>
    <t>(11)=(9)+(10)</t>
  </si>
  <si>
    <t>Giai đoạn 1: Thời gian ân hạn</t>
  </si>
  <si>
    <t>Giai đoạn 2: Thời gian trả nợ</t>
  </si>
  <si>
    <t>I.</t>
  </si>
  <si>
    <t>II.</t>
  </si>
  <si>
    <t>(15)=
(5)x(7)x(11)/365</t>
  </si>
  <si>
    <t>(14)=(12)x30%</t>
  </si>
  <si>
    <t>(13)=(12)x70%</t>
  </si>
  <si>
    <t>(12)=
9,990,000x(8)</t>
  </si>
  <si>
    <t>(17)=(15)x30%</t>
  </si>
  <si>
    <t>(16)=(15)x70%</t>
  </si>
  <si>
    <t>(16) = 0,15%x(8)X(5)/365</t>
  </si>
  <si>
    <t>(7)
=(6)+(15) + (16)</t>
  </si>
  <si>
    <t>CƠ CẤU VỐN ĐẦU TƯ</t>
  </si>
  <si>
    <t>Hạng mục</t>
  </si>
  <si>
    <t>TMĐT</t>
  </si>
  <si>
    <t>Tiến độ triển khai (USD)</t>
  </si>
  <si>
    <t xml:space="preserve"> USD</t>
  </si>
  <si>
    <t>(tỷ VND)</t>
  </si>
  <si>
    <t>Tỷ lệ</t>
  </si>
  <si>
    <t>Vốn ODA và vốn vay ưu đãi</t>
  </si>
  <si>
    <t>I.1</t>
  </si>
  <si>
    <t>Vốn ADF</t>
  </si>
  <si>
    <t>Chi phí xây lắp</t>
  </si>
  <si>
    <t>Dịch vụ Tư vấn</t>
  </si>
  <si>
    <t>Dự phòng phí</t>
  </si>
  <si>
    <t>Chi phí tài chính trong quá trình thực hiện</t>
  </si>
  <si>
    <t>I.2</t>
  </si>
  <si>
    <t>Vốn OCR</t>
  </si>
  <si>
    <t>Chí phí xây dựng</t>
  </si>
  <si>
    <t>Lãi vay trong quá trình xây dựng</t>
  </si>
  <si>
    <t xml:space="preserve">Phí </t>
  </si>
  <si>
    <t>Vốn đối ứng</t>
  </si>
  <si>
    <t xml:space="preserve"> Chi phí cơ bản</t>
  </si>
  <si>
    <t>Bồi thường GPMB, tái định cư</t>
  </si>
  <si>
    <t>Chi phí QLDA</t>
  </si>
  <si>
    <t>Dự phòng</t>
  </si>
  <si>
    <t>Ngày
kết thúc</t>
  </si>
  <si>
    <t>Ngày
bắt đầu</t>
  </si>
  <si>
    <t>Dư nợ
gốc</t>
  </si>
  <si>
    <t>Tổng
cộng</t>
  </si>
  <si>
    <t>NSTW
cấp phát</t>
  </si>
  <si>
    <t>Tỉnh
trả</t>
  </si>
  <si>
    <t>Trả nợ lãi</t>
  </si>
  <si>
    <t>Kỳ
trả
nợ</t>
  </si>
  <si>
    <t>(Kèm theo Nghị quyết số ….../NQ-HĐND ngày .../.../2017 của HĐND tỉnh về việc phê duyệt phương án sử dụng và trả nợ vốn vay Ngân hàng Phát triển Châu Á (ADB) để thực hiện Dự án hạ tầng cơ bản cho phát triển toàn diện các tỉnh Nghệ An, Hà Tĩnh, Quảng Bình và Quảng Trị - Tiểu Dự án tỉnh Quảng Bình)</t>
  </si>
  <si>
    <t>Lãi
suất</t>
  </si>
  <si>
    <t>PHỤ LỤC 2 - LỊCH TRẢ NỢ THEO NĂM ĐỐI VỚI KHOẢN VỐN VAY ƯU ĐÃI (ADF/COL)
(PHƯƠNG ÁN TRẢ NỢ NHANH)</t>
  </si>
  <si>
    <t>Ngày
trả nợ</t>
  </si>
  <si>
    <t>Dư nợ gốc</t>
  </si>
  <si>
    <t>Tổng số</t>
  </si>
  <si>
    <t>Tỉnh vay lại</t>
  </si>
  <si>
    <t>Tổng nợ tỉnh phải trả</t>
  </si>
  <si>
    <t>Nợ gốc</t>
  </si>
  <si>
    <t>Nợ lãi</t>
  </si>
  <si>
    <t>Tổng nợ phải trả của DỰ ÁN</t>
  </si>
  <si>
    <t>Kỳ trả
nợ</t>
  </si>
  <si>
    <t>Đơn vị: USD</t>
  </si>
  <si>
    <t>TỔNG CỘNG</t>
  </si>
  <si>
    <t>(Kèm theo Nghị quyết số ….../NQ-HĐND ngày .../.../2017 của HĐND tỉnh)</t>
  </si>
  <si>
    <t>ĐVT: USD</t>
  </si>
  <si>
    <r>
      <t xml:space="preserve">Phụ lục 2: LỊCH TRẢ NỢ THEO NĂM ĐỐI VỚI KHOẢN VỐN VAY ƯU ĐÃI (ADF/COL)
PHƯƠNG ÁN TRẢ NỢ NHANH
</t>
    </r>
    <r>
      <rPr>
        <i/>
        <sz val="12"/>
        <rFont val="Times New Roman"/>
        <family val="1"/>
      </rPr>
      <t>(Kèm theo Nghị quyết số ….../NQ-HĐND ngày .../.../2017 của HĐND tỉnh</t>
    </r>
    <r>
      <rPr>
        <sz val="12"/>
        <rFont val="Times New Roman"/>
        <family val="1"/>
      </rPr>
      <t>)</t>
    </r>
  </si>
  <si>
    <r>
      <rPr>
        <sz val="12"/>
        <rFont val="Times New Roman"/>
        <family val="1"/>
      </rPr>
      <t xml:space="preserve">Phụ lục 1: LỊCH TRẢ NỢ THEO NĂM ĐỐI VỚI KHOẢN VỐN VAY ƯU ĐÃI (ADF/COL)
PHƯƠNG ÁN TRẢ NỢ THÔNG THƯỜNG </t>
    </r>
    <r>
      <rPr>
        <i/>
        <sz val="12"/>
        <rFont val="Times New Roman"/>
        <family val="1"/>
      </rPr>
      <t xml:space="preserve">
(Kèm theo Nghị quyết số ….../NQ-HĐND ngày .../.../2017 của HĐND tỉnh)</t>
    </r>
  </si>
  <si>
    <t>Phụ lục 3: LỊCH TRẢ NỢ THEO NĂM ĐỐI VỚI KHOẢN VỐN VAY THÔNG THƯỜNG (OCR/ MOL)</t>
  </si>
  <si>
    <t>-</t>
  </si>
  <si>
    <t>Ngày trả nợ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</si>
</sst>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0_);_(* \(#,##0.00\);_(* &quot;-&quot;_);_(@_)"/>
    <numFmt numFmtId="166" formatCode="_(* #,##0.0000_);_(* \(#,##0.0000\);_(* &quot;-&quot;??_);_(@_)"/>
    <numFmt numFmtId="167" formatCode="[$-1010000]d/m/yy;@"/>
    <numFmt numFmtId="168" formatCode="0.000"/>
    <numFmt numFmtId="169" formatCode="#,##0.0"/>
    <numFmt numFmtId="170" formatCode="dd/mm/yyyy"/>
  </numFmts>
  <fonts count="26" x14ac:knownFonts="1">
    <font>
      <sz val="9"/>
      <name val=".VnTime"/>
    </font>
    <font>
      <sz val="9"/>
      <name val=".VnTime"/>
      <family val="2"/>
    </font>
    <font>
      <sz val="8"/>
      <name val=".VnTime"/>
      <family val="2"/>
    </font>
    <font>
      <sz val="12"/>
      <name val="Times New Roman"/>
      <family val="1"/>
    </font>
    <font>
      <b/>
      <i/>
      <sz val="12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sz val="11"/>
      <color indexed="8"/>
      <name val="Calibri"/>
      <family val="2"/>
    </font>
    <font>
      <sz val="11"/>
      <color indexed="8"/>
      <name val="Times New Roman"/>
      <family val="1"/>
    </font>
    <font>
      <b/>
      <i/>
      <sz val="12"/>
      <color indexed="8"/>
      <name val="Times New Roman"/>
      <family val="1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3"/>
      <color theme="1"/>
      <name val="Times New Roman"/>
      <family val="1"/>
    </font>
    <font>
      <b/>
      <i/>
      <sz val="13"/>
      <color theme="1"/>
      <name val="Times New Roman"/>
      <family val="1"/>
    </font>
    <font>
      <sz val="12"/>
      <color theme="4" tint="0.39997558519241921"/>
      <name val="Times New Roman"/>
      <family val="1"/>
    </font>
    <font>
      <b/>
      <sz val="12"/>
      <color rgb="FF002060"/>
      <name val="Times New Roman"/>
      <family val="1"/>
    </font>
    <font>
      <sz val="12"/>
      <color rgb="FF002060"/>
      <name val="Times New Roman"/>
      <family val="1"/>
    </font>
    <font>
      <sz val="12"/>
      <color theme="2" tint="-0.89999084444715716"/>
      <name val="Times New Roman"/>
      <family val="1"/>
    </font>
    <font>
      <b/>
      <sz val="12"/>
      <color theme="4" tint="0.39997558519241921"/>
      <name val="Times New Roman"/>
      <family val="1"/>
    </font>
    <font>
      <i/>
      <sz val="12"/>
      <name val="Times New Roman"/>
      <family val="1"/>
    </font>
    <font>
      <sz val="12"/>
      <color theme="3"/>
      <name val="Times New Roman"/>
      <family val="1"/>
    </font>
    <font>
      <b/>
      <sz val="12"/>
      <color theme="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311">
    <xf numFmtId="0" fontId="0" fillId="0" borderId="0" xfId="0"/>
    <xf numFmtId="41" fontId="14" fillId="0" borderId="1" xfId="0" applyNumberFormat="1" applyFont="1" applyFill="1" applyBorder="1" applyAlignment="1">
      <alignment horizontal="center" vertical="center" wrapText="1"/>
    </xf>
    <xf numFmtId="0" fontId="5" fillId="0" borderId="0" xfId="3" applyFont="1" applyFill="1" applyAlignment="1">
      <alignment vertical="center"/>
    </xf>
    <xf numFmtId="41" fontId="5" fillId="0" borderId="0" xfId="2" applyFont="1" applyAlignment="1">
      <alignment vertical="center"/>
    </xf>
    <xf numFmtId="0" fontId="5" fillId="0" borderId="0" xfId="3" applyFont="1" applyAlignment="1">
      <alignment vertical="center"/>
    </xf>
    <xf numFmtId="9" fontId="5" fillId="0" borderId="0" xfId="4" applyFont="1" applyAlignment="1">
      <alignment vertical="center"/>
    </xf>
    <xf numFmtId="0" fontId="6" fillId="0" borderId="0" xfId="3" applyFont="1" applyFill="1" applyBorder="1" applyAlignment="1">
      <alignment horizontal="center" vertical="center"/>
    </xf>
    <xf numFmtId="3" fontId="4" fillId="0" borderId="0" xfId="3" applyNumberFormat="1" applyFont="1" applyFill="1" applyBorder="1" applyAlignment="1">
      <alignment horizontal="center" vertical="center" wrapText="1"/>
    </xf>
    <xf numFmtId="169" fontId="10" fillId="2" borderId="0" xfId="3" applyNumberFormat="1" applyFont="1" applyFill="1" applyBorder="1" applyAlignment="1">
      <alignment horizontal="center" vertical="center" wrapText="1"/>
    </xf>
    <xf numFmtId="3" fontId="4" fillId="2" borderId="0" xfId="3" applyNumberFormat="1" applyFont="1" applyFill="1" applyBorder="1" applyAlignment="1">
      <alignment horizontal="center" vertical="center" wrapText="1"/>
    </xf>
    <xf numFmtId="0" fontId="6" fillId="2" borderId="0" xfId="3" applyNumberFormat="1" applyFont="1" applyFill="1" applyBorder="1" applyAlignment="1">
      <alignment horizontal="center" vertical="center" wrapText="1"/>
    </xf>
    <xf numFmtId="0" fontId="6" fillId="0" borderId="0" xfId="3" applyFont="1" applyFill="1" applyBorder="1" applyAlignment="1">
      <alignment horizontal="center" vertical="center" wrapText="1"/>
    </xf>
    <xf numFmtId="169" fontId="10" fillId="0" borderId="0" xfId="3" applyNumberFormat="1" applyFont="1" applyFill="1" applyBorder="1" applyAlignment="1">
      <alignment horizontal="center" vertical="center" wrapText="1"/>
    </xf>
    <xf numFmtId="4" fontId="4" fillId="0" borderId="0" xfId="3" applyNumberFormat="1" applyFont="1" applyFill="1" applyBorder="1" applyAlignment="1">
      <alignment horizontal="center" vertical="center" wrapText="1"/>
    </xf>
    <xf numFmtId="9" fontId="6" fillId="0" borderId="0" xfId="4" applyNumberFormat="1" applyFont="1" applyFill="1" applyBorder="1" applyAlignment="1">
      <alignment horizontal="center" vertical="center" wrapText="1"/>
    </xf>
    <xf numFmtId="0" fontId="6" fillId="0" borderId="0" xfId="3" applyFont="1" applyFill="1" applyBorder="1" applyAlignment="1">
      <alignment horizontal="left" vertical="center" wrapText="1"/>
    </xf>
    <xf numFmtId="169" fontId="6" fillId="0" borderId="0" xfId="3" applyNumberFormat="1" applyFont="1" applyFill="1" applyBorder="1" applyAlignment="1">
      <alignment horizontal="right" vertical="center" wrapText="1"/>
    </xf>
    <xf numFmtId="3" fontId="6" fillId="0" borderId="0" xfId="3" applyNumberFormat="1" applyFont="1" applyFill="1" applyBorder="1" applyAlignment="1">
      <alignment horizontal="right" vertical="center" wrapText="1"/>
    </xf>
    <xf numFmtId="4" fontId="6" fillId="0" borderId="0" xfId="3" applyNumberFormat="1" applyFont="1" applyFill="1" applyBorder="1" applyAlignment="1">
      <alignment horizontal="right" vertical="center" wrapText="1"/>
    </xf>
    <xf numFmtId="3" fontId="6" fillId="0" borderId="0" xfId="3" applyNumberFormat="1" applyFont="1" applyFill="1" applyBorder="1" applyAlignment="1">
      <alignment horizontal="center" vertical="center" wrapText="1"/>
    </xf>
    <xf numFmtId="169" fontId="6" fillId="0" borderId="0" xfId="3" applyNumberFormat="1" applyFont="1" applyFill="1" applyBorder="1" applyAlignment="1">
      <alignment horizontal="center" vertical="center" wrapText="1"/>
    </xf>
    <xf numFmtId="164" fontId="6" fillId="0" borderId="0" xfId="1" applyNumberFormat="1" applyFont="1" applyFill="1" applyBorder="1" applyAlignment="1">
      <alignment horizontal="center" vertical="center" wrapText="1"/>
    </xf>
    <xf numFmtId="164" fontId="5" fillId="0" borderId="0" xfId="3" applyNumberFormat="1" applyFont="1" applyAlignment="1">
      <alignment vertical="center"/>
    </xf>
    <xf numFmtId="0" fontId="5" fillId="0" borderId="0" xfId="3" applyFont="1" applyFill="1" applyBorder="1" applyAlignment="1">
      <alignment horizontal="center" vertical="center"/>
    </xf>
    <xf numFmtId="0" fontId="5" fillId="0" borderId="0" xfId="3" applyFont="1" applyFill="1" applyBorder="1" applyAlignment="1">
      <alignment vertical="center" wrapText="1"/>
    </xf>
    <xf numFmtId="169" fontId="5" fillId="0" borderId="0" xfId="3" applyNumberFormat="1" applyFont="1" applyFill="1" applyBorder="1" applyAlignment="1">
      <alignment horizontal="right" vertical="center"/>
    </xf>
    <xf numFmtId="3" fontId="15" fillId="0" borderId="0" xfId="3" applyNumberFormat="1" applyFont="1" applyFill="1" applyBorder="1" applyAlignment="1">
      <alignment horizontal="right" vertical="center"/>
    </xf>
    <xf numFmtId="4" fontId="5" fillId="0" borderId="0" xfId="3" applyNumberFormat="1" applyFont="1" applyFill="1" applyBorder="1" applyAlignment="1">
      <alignment horizontal="right" vertical="center"/>
    </xf>
    <xf numFmtId="164" fontId="5" fillId="0" borderId="0" xfId="1" applyNumberFormat="1" applyFont="1" applyFill="1" applyBorder="1" applyAlignment="1">
      <alignment horizontal="right" vertical="center"/>
    </xf>
    <xf numFmtId="0" fontId="9" fillId="0" borderId="0" xfId="0" applyFont="1" applyFill="1" applyBorder="1"/>
    <xf numFmtId="3" fontId="5" fillId="0" borderId="0" xfId="3" applyNumberFormat="1" applyFont="1" applyFill="1" applyBorder="1" applyAlignment="1">
      <alignment horizontal="right" vertical="center"/>
    </xf>
    <xf numFmtId="164" fontId="6" fillId="0" borderId="0" xfId="1" applyNumberFormat="1" applyFont="1" applyFill="1" applyBorder="1" applyAlignment="1">
      <alignment horizontal="right" vertical="center" wrapText="1"/>
    </xf>
    <xf numFmtId="3" fontId="7" fillId="0" borderId="0" xfId="3" applyNumberFormat="1" applyFont="1" applyFill="1" applyBorder="1" applyAlignment="1">
      <alignment horizontal="right" vertical="center"/>
    </xf>
    <xf numFmtId="0" fontId="7" fillId="0" borderId="0" xfId="3" applyFont="1" applyAlignment="1">
      <alignment vertical="center"/>
    </xf>
    <xf numFmtId="0" fontId="7" fillId="0" borderId="0" xfId="3" applyFont="1" applyFill="1" applyBorder="1" applyAlignment="1">
      <alignment horizontal="center" vertical="center"/>
    </xf>
    <xf numFmtId="0" fontId="7" fillId="0" borderId="0" xfId="3" applyFont="1" applyFill="1" applyBorder="1" applyAlignment="1">
      <alignment vertical="center" wrapText="1"/>
    </xf>
    <xf numFmtId="169" fontId="7" fillId="0" borderId="0" xfId="3" applyNumberFormat="1" applyFont="1" applyFill="1" applyBorder="1" applyAlignment="1">
      <alignment horizontal="right" vertical="center"/>
    </xf>
    <xf numFmtId="4" fontId="7" fillId="0" borderId="0" xfId="3" applyNumberFormat="1" applyFont="1" applyFill="1" applyBorder="1" applyAlignment="1">
      <alignment horizontal="right" vertical="center"/>
    </xf>
    <xf numFmtId="164" fontId="7" fillId="0" borderId="0" xfId="1" applyNumberFormat="1" applyFont="1" applyFill="1" applyBorder="1" applyAlignment="1">
      <alignment horizontal="right" vertical="center"/>
    </xf>
    <xf numFmtId="3" fontId="11" fillId="0" borderId="0" xfId="3" applyNumberFormat="1" applyFont="1" applyFill="1" applyBorder="1" applyAlignment="1">
      <alignment horizontal="right" vertical="center" wrapText="1"/>
    </xf>
    <xf numFmtId="3" fontId="3" fillId="0" borderId="0" xfId="3" applyNumberFormat="1" applyFont="1" applyFill="1" applyBorder="1" applyAlignment="1">
      <alignment horizontal="right" vertical="center"/>
    </xf>
    <xf numFmtId="3" fontId="6" fillId="2" borderId="0" xfId="3" applyNumberFormat="1" applyFont="1" applyFill="1" applyBorder="1" applyAlignment="1">
      <alignment horizontal="right" vertical="center"/>
    </xf>
    <xf numFmtId="4" fontId="6" fillId="2" borderId="0" xfId="3" applyNumberFormat="1" applyFont="1" applyFill="1" applyBorder="1" applyAlignment="1">
      <alignment horizontal="right" vertical="center"/>
    </xf>
    <xf numFmtId="0" fontId="6" fillId="0" borderId="0" xfId="3" applyFont="1" applyAlignment="1">
      <alignment vertical="center"/>
    </xf>
    <xf numFmtId="0" fontId="5" fillId="0" borderId="0" xfId="3" applyFont="1" applyFill="1" applyBorder="1" applyAlignment="1">
      <alignment horizontal="left" vertical="center"/>
    </xf>
    <xf numFmtId="0" fontId="6" fillId="0" borderId="0" xfId="3" applyFont="1" applyFill="1" applyAlignment="1">
      <alignment vertical="center"/>
    </xf>
    <xf numFmtId="3" fontId="6" fillId="0" borderId="0" xfId="3" applyNumberFormat="1" applyFont="1" applyAlignment="1">
      <alignment vertical="center"/>
    </xf>
    <xf numFmtId="9" fontId="6" fillId="0" borderId="0" xfId="4" applyFont="1" applyAlignment="1">
      <alignment vertical="center"/>
    </xf>
    <xf numFmtId="0" fontId="7" fillId="0" borderId="0" xfId="3" applyFont="1" applyFill="1" applyBorder="1" applyAlignment="1">
      <alignment vertical="center"/>
    </xf>
    <xf numFmtId="0" fontId="5" fillId="0" borderId="0" xfId="3" applyFont="1" applyFill="1" applyBorder="1" applyAlignment="1">
      <alignment vertical="center"/>
    </xf>
    <xf numFmtId="4" fontId="16" fillId="0" borderId="27" xfId="0" applyNumberFormat="1" applyFont="1" applyBorder="1" applyAlignment="1">
      <alignment horizontal="center" vertical="center" wrapText="1"/>
    </xf>
    <xf numFmtId="168" fontId="5" fillId="0" borderId="0" xfId="3" applyNumberFormat="1" applyFont="1" applyAlignment="1">
      <alignment vertical="center"/>
    </xf>
    <xf numFmtId="2" fontId="5" fillId="0" borderId="0" xfId="3" applyNumberFormat="1" applyFont="1" applyAlignment="1">
      <alignment vertical="center"/>
    </xf>
    <xf numFmtId="0" fontId="5" fillId="0" borderId="0" xfId="3" applyFont="1" applyAlignment="1">
      <alignment horizontal="center" vertical="center"/>
    </xf>
    <xf numFmtId="4" fontId="17" fillId="0" borderId="28" xfId="0" applyNumberFormat="1" applyFont="1" applyBorder="1" applyAlignment="1">
      <alignment horizontal="center" vertical="center" wrapText="1"/>
    </xf>
    <xf numFmtId="3" fontId="3" fillId="0" borderId="0" xfId="3" applyNumberFormat="1" applyFont="1" applyAlignment="1">
      <alignment vertical="center"/>
    </xf>
    <xf numFmtId="4" fontId="16" fillId="0" borderId="28" xfId="0" applyNumberFormat="1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41" fontId="14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Fill="1"/>
    <xf numFmtId="41" fontId="5" fillId="0" borderId="0" xfId="0" applyNumberFormat="1" applyFont="1" applyFill="1"/>
    <xf numFmtId="9" fontId="19" fillId="0" borderId="1" xfId="5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41" fontId="15" fillId="0" borderId="0" xfId="0" applyNumberFormat="1" applyFont="1" applyFill="1" applyAlignment="1">
      <alignment horizontal="center"/>
    </xf>
    <xf numFmtId="41" fontId="14" fillId="0" borderId="1" xfId="5" applyNumberFormat="1" applyFont="1" applyFill="1" applyBorder="1" applyAlignment="1">
      <alignment horizontal="center" vertical="center" wrapText="1"/>
    </xf>
    <xf numFmtId="41" fontId="14" fillId="0" borderId="1" xfId="0" applyNumberFormat="1" applyFont="1" applyFill="1" applyBorder="1" applyAlignment="1">
      <alignment horizontal="center"/>
    </xf>
    <xf numFmtId="41" fontId="15" fillId="0" borderId="0" xfId="0" applyNumberFormat="1" applyFont="1" applyFill="1" applyBorder="1" applyAlignment="1">
      <alignment horizontal="center"/>
    </xf>
    <xf numFmtId="41" fontId="15" fillId="0" borderId="0" xfId="0" applyNumberFormat="1" applyFont="1" applyFill="1"/>
    <xf numFmtId="41" fontId="15" fillId="0" borderId="0" xfId="0" applyNumberFormat="1" applyFont="1" applyFill="1" applyBorder="1"/>
    <xf numFmtId="0" fontId="20" fillId="0" borderId="1" xfId="0" applyFont="1" applyFill="1" applyBorder="1"/>
    <xf numFmtId="3" fontId="20" fillId="0" borderId="1" xfId="2" applyNumberFormat="1" applyFont="1" applyFill="1" applyBorder="1"/>
    <xf numFmtId="3" fontId="20" fillId="0" borderId="1" xfId="0" applyNumberFormat="1" applyFont="1" applyFill="1" applyBorder="1"/>
    <xf numFmtId="10" fontId="20" fillId="0" borderId="1" xfId="0" applyNumberFormat="1" applyFont="1" applyFill="1" applyBorder="1"/>
    <xf numFmtId="10" fontId="20" fillId="0" borderId="1" xfId="4" applyNumberFormat="1" applyFont="1" applyFill="1" applyBorder="1"/>
    <xf numFmtId="41" fontId="20" fillId="0" borderId="1" xfId="2" applyFont="1" applyFill="1" applyBorder="1"/>
    <xf numFmtId="41" fontId="5" fillId="0" borderId="1" xfId="2" applyFont="1" applyFill="1" applyBorder="1"/>
    <xf numFmtId="41" fontId="5" fillId="0" borderId="1" xfId="0" applyNumberFormat="1" applyFont="1" applyFill="1" applyBorder="1"/>
    <xf numFmtId="0" fontId="5" fillId="0" borderId="23" xfId="0" applyFont="1" applyFill="1" applyBorder="1"/>
    <xf numFmtId="165" fontId="5" fillId="0" borderId="23" xfId="0" applyNumberFormat="1" applyFont="1" applyFill="1" applyBorder="1"/>
    <xf numFmtId="0" fontId="5" fillId="0" borderId="1" xfId="0" applyFont="1" applyFill="1" applyBorder="1"/>
    <xf numFmtId="164" fontId="20" fillId="0" borderId="1" xfId="1" applyNumberFormat="1" applyFont="1" applyFill="1" applyBorder="1"/>
    <xf numFmtId="41" fontId="20" fillId="0" borderId="1" xfId="0" applyNumberFormat="1" applyFont="1" applyFill="1" applyBorder="1"/>
    <xf numFmtId="164" fontId="20" fillId="0" borderId="1" xfId="2" applyNumberFormat="1" applyFont="1" applyFill="1" applyBorder="1"/>
    <xf numFmtId="41" fontId="5" fillId="0" borderId="23" xfId="0" applyNumberFormat="1" applyFont="1" applyFill="1" applyBorder="1"/>
    <xf numFmtId="164" fontId="20" fillId="0" borderId="1" xfId="0" applyNumberFormat="1" applyFont="1" applyFill="1" applyBorder="1"/>
    <xf numFmtId="0" fontId="21" fillId="0" borderId="0" xfId="0" applyFont="1" applyFill="1"/>
    <xf numFmtId="0" fontId="21" fillId="0" borderId="1" xfId="0" applyFont="1" applyFill="1" applyBorder="1"/>
    <xf numFmtId="41" fontId="21" fillId="0" borderId="1" xfId="0" applyNumberFormat="1" applyFont="1" applyFill="1" applyBorder="1"/>
    <xf numFmtId="0" fontId="20" fillId="0" borderId="0" xfId="0" applyFont="1" applyFill="1"/>
    <xf numFmtId="41" fontId="20" fillId="0" borderId="0" xfId="0" applyNumberFormat="1" applyFont="1" applyFill="1"/>
    <xf numFmtId="3" fontId="20" fillId="0" borderId="12" xfId="0" applyNumberFormat="1" applyFont="1" applyFill="1" applyBorder="1"/>
    <xf numFmtId="10" fontId="20" fillId="0" borderId="0" xfId="0" applyNumberFormat="1" applyFont="1" applyFill="1"/>
    <xf numFmtId="165" fontId="5" fillId="0" borderId="0" xfId="0" applyNumberFormat="1" applyFont="1" applyFill="1"/>
    <xf numFmtId="0" fontId="19" fillId="0" borderId="2" xfId="0" applyFont="1" applyFill="1" applyBorder="1"/>
    <xf numFmtId="0" fontId="19" fillId="0" borderId="3" xfId="0" applyFont="1" applyFill="1" applyBorder="1" applyAlignment="1">
      <alignment horizontal="right"/>
    </xf>
    <xf numFmtId="41" fontId="19" fillId="0" borderId="4" xfId="2" applyFont="1" applyFill="1" applyBorder="1"/>
    <xf numFmtId="0" fontId="19" fillId="0" borderId="2" xfId="0" applyFont="1" applyFill="1" applyBorder="1" applyAlignment="1">
      <alignment horizontal="center"/>
    </xf>
    <xf numFmtId="0" fontId="19" fillId="0" borderId="3" xfId="0" applyFont="1" applyFill="1" applyBorder="1"/>
    <xf numFmtId="10" fontId="19" fillId="0" borderId="3" xfId="0" applyNumberFormat="1" applyFont="1" applyFill="1" applyBorder="1"/>
    <xf numFmtId="41" fontId="19" fillId="0" borderId="3" xfId="0" applyNumberFormat="1" applyFont="1" applyFill="1" applyBorder="1"/>
    <xf numFmtId="41" fontId="19" fillId="0" borderId="4" xfId="0" applyNumberFormat="1" applyFont="1" applyFill="1" applyBorder="1"/>
    <xf numFmtId="41" fontId="19" fillId="0" borderId="20" xfId="0" applyNumberFormat="1" applyFont="1" applyFill="1" applyBorder="1"/>
    <xf numFmtId="0" fontId="6" fillId="0" borderId="2" xfId="0" applyFont="1" applyFill="1" applyBorder="1"/>
    <xf numFmtId="41" fontId="6" fillId="0" borderId="3" xfId="0" applyNumberFormat="1" applyFont="1" applyFill="1" applyBorder="1"/>
    <xf numFmtId="0" fontId="20" fillId="0" borderId="5" xfId="0" applyFont="1" applyFill="1" applyBorder="1"/>
    <xf numFmtId="0" fontId="19" fillId="0" borderId="7" xfId="0" applyFont="1" applyFill="1" applyBorder="1" applyAlignment="1">
      <alignment horizontal="right"/>
    </xf>
    <xf numFmtId="41" fontId="19" fillId="0" borderId="8" xfId="0" applyNumberFormat="1" applyFont="1" applyFill="1" applyBorder="1"/>
    <xf numFmtId="0" fontId="19" fillId="0" borderId="7" xfId="0" applyFont="1" applyFill="1" applyBorder="1"/>
    <xf numFmtId="10" fontId="19" fillId="0" borderId="7" xfId="0" applyNumberFormat="1" applyFont="1" applyFill="1" applyBorder="1"/>
    <xf numFmtId="41" fontId="20" fillId="0" borderId="8" xfId="0" applyNumberFormat="1" applyFont="1" applyFill="1" applyBorder="1"/>
    <xf numFmtId="41" fontId="20" fillId="0" borderId="21" xfId="0" applyNumberFormat="1" applyFont="1" applyFill="1" applyBorder="1"/>
    <xf numFmtId="0" fontId="5" fillId="0" borderId="5" xfId="0" applyFont="1" applyFill="1" applyBorder="1" applyAlignment="1">
      <alignment horizontal="right"/>
    </xf>
    <xf numFmtId="9" fontId="12" fillId="0" borderId="7" xfId="4" applyFont="1" applyFill="1" applyBorder="1"/>
    <xf numFmtId="0" fontId="5" fillId="0" borderId="7" xfId="0" applyFont="1" applyFill="1" applyBorder="1"/>
    <xf numFmtId="0" fontId="20" fillId="0" borderId="7" xfId="0" applyFont="1" applyFill="1" applyBorder="1"/>
    <xf numFmtId="0" fontId="20" fillId="0" borderId="8" xfId="0" applyFont="1" applyFill="1" applyBorder="1"/>
    <xf numFmtId="10" fontId="19" fillId="0" borderId="6" xfId="0" applyNumberFormat="1" applyFont="1" applyFill="1" applyBorder="1"/>
    <xf numFmtId="0" fontId="19" fillId="0" borderId="6" xfId="0" applyFont="1" applyFill="1" applyBorder="1" applyAlignment="1">
      <alignment horizontal="center"/>
    </xf>
    <xf numFmtId="41" fontId="20" fillId="0" borderId="15" xfId="2" applyFont="1" applyFill="1" applyBorder="1"/>
    <xf numFmtId="0" fontId="19" fillId="0" borderId="16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5" fillId="0" borderId="5" xfId="0" applyFont="1" applyFill="1" applyBorder="1"/>
    <xf numFmtId="0" fontId="6" fillId="0" borderId="7" xfId="0" applyFont="1" applyFill="1" applyBorder="1" applyAlignment="1">
      <alignment horizontal="center"/>
    </xf>
    <xf numFmtId="41" fontId="6" fillId="0" borderId="6" xfId="0" applyNumberFormat="1" applyFont="1" applyFill="1" applyBorder="1"/>
    <xf numFmtId="0" fontId="20" fillId="0" borderId="10" xfId="0" applyFont="1" applyFill="1" applyBorder="1"/>
    <xf numFmtId="0" fontId="20" fillId="0" borderId="12" xfId="0" applyFont="1" applyFill="1" applyBorder="1"/>
    <xf numFmtId="0" fontId="20" fillId="0" borderId="14" xfId="0" applyFont="1" applyFill="1" applyBorder="1"/>
    <xf numFmtId="0" fontId="20" fillId="0" borderId="13" xfId="0" applyFont="1" applyFill="1" applyBorder="1"/>
    <xf numFmtId="41" fontId="19" fillId="0" borderId="13" xfId="2" applyFont="1" applyFill="1" applyBorder="1"/>
    <xf numFmtId="41" fontId="20" fillId="0" borderId="17" xfId="2" applyFont="1" applyFill="1" applyBorder="1"/>
    <xf numFmtId="41" fontId="19" fillId="0" borderId="18" xfId="2" applyFont="1" applyFill="1" applyBorder="1"/>
    <xf numFmtId="41" fontId="19" fillId="0" borderId="0" xfId="2" applyFont="1" applyFill="1" applyBorder="1"/>
    <xf numFmtId="41" fontId="19" fillId="0" borderId="19" xfId="0" applyNumberFormat="1" applyFont="1" applyFill="1" applyBorder="1"/>
    <xf numFmtId="0" fontId="5" fillId="0" borderId="10" xfId="0" applyFont="1" applyFill="1" applyBorder="1"/>
    <xf numFmtId="0" fontId="6" fillId="0" borderId="12" xfId="0" applyFont="1" applyFill="1" applyBorder="1" applyAlignment="1">
      <alignment horizontal="center"/>
    </xf>
    <xf numFmtId="41" fontId="6" fillId="0" borderId="13" xfId="2" applyNumberFormat="1" applyFont="1" applyFill="1" applyBorder="1"/>
    <xf numFmtId="0" fontId="22" fillId="0" borderId="6" xfId="0" applyFont="1" applyFill="1" applyBorder="1"/>
    <xf numFmtId="0" fontId="6" fillId="0" borderId="6" xfId="0" applyFont="1" applyFill="1" applyBorder="1"/>
    <xf numFmtId="0" fontId="22" fillId="0" borderId="9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41" fontId="22" fillId="0" borderId="11" xfId="2" applyFont="1" applyFill="1" applyBorder="1"/>
    <xf numFmtId="41" fontId="6" fillId="0" borderId="11" xfId="2" applyFont="1" applyFill="1" applyBorder="1"/>
    <xf numFmtId="0" fontId="18" fillId="0" borderId="0" xfId="0" applyFont="1" applyFill="1"/>
    <xf numFmtId="3" fontId="18" fillId="0" borderId="0" xfId="0" applyNumberFormat="1" applyFont="1" applyFill="1"/>
    <xf numFmtId="3" fontId="5" fillId="0" borderId="0" xfId="0" applyNumberFormat="1" applyFont="1" applyFill="1"/>
    <xf numFmtId="41" fontId="6" fillId="0" borderId="0" xfId="0" applyNumberFormat="1" applyFont="1" applyFill="1"/>
    <xf numFmtId="41" fontId="22" fillId="0" borderId="0" xfId="0" applyNumberFormat="1" applyFont="1" applyFill="1"/>
    <xf numFmtId="0" fontId="6" fillId="0" borderId="0" xfId="0" applyFont="1" applyFill="1"/>
    <xf numFmtId="164" fontId="6" fillId="0" borderId="0" xfId="0" applyNumberFormat="1" applyFont="1" applyFill="1"/>
    <xf numFmtId="164" fontId="5" fillId="0" borderId="0" xfId="0" applyNumberFormat="1" applyFont="1" applyFill="1"/>
    <xf numFmtId="43" fontId="5" fillId="0" borderId="0" xfId="0" applyNumberFormat="1" applyFont="1" applyFill="1"/>
    <xf numFmtId="10" fontId="5" fillId="0" borderId="1" xfId="0" applyNumberFormat="1" applyFont="1" applyFill="1" applyBorder="1"/>
    <xf numFmtId="2" fontId="5" fillId="0" borderId="0" xfId="0" applyNumberFormat="1" applyFont="1" applyFill="1"/>
    <xf numFmtId="164" fontId="5" fillId="0" borderId="1" xfId="0" applyNumberFormat="1" applyFont="1" applyFill="1" applyBorder="1"/>
    <xf numFmtId="164" fontId="21" fillId="0" borderId="1" xfId="0" applyNumberFormat="1" applyFont="1" applyFill="1" applyBorder="1"/>
    <xf numFmtId="10" fontId="21" fillId="0" borderId="1" xfId="0" applyNumberFormat="1" applyFont="1" applyFill="1" applyBorder="1"/>
    <xf numFmtId="164" fontId="19" fillId="0" borderId="1" xfId="1" applyNumberFormat="1" applyFont="1" applyFill="1" applyBorder="1"/>
    <xf numFmtId="0" fontId="7" fillId="0" borderId="0" xfId="0" applyFont="1" applyFill="1" applyAlignment="1">
      <alignment horizontal="right"/>
    </xf>
    <xf numFmtId="41" fontId="14" fillId="0" borderId="1" xfId="0" applyNumberFormat="1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41" fontId="14" fillId="0" borderId="1" xfId="0" applyNumberFormat="1" applyFont="1" applyFill="1" applyBorder="1" applyAlignment="1">
      <alignment horizontal="center" vertical="center"/>
    </xf>
    <xf numFmtId="14" fontId="20" fillId="0" borderId="1" xfId="0" applyNumberFormat="1" applyFont="1" applyFill="1" applyBorder="1" applyAlignment="1">
      <alignment horizontal="center"/>
    </xf>
    <xf numFmtId="14" fontId="20" fillId="0" borderId="1" xfId="0" applyNumberFormat="1" applyFont="1" applyFill="1" applyBorder="1" applyAlignment="1">
      <alignment horizontal="center"/>
    </xf>
    <xf numFmtId="14" fontId="20" fillId="0" borderId="0" xfId="0" applyNumberFormat="1" applyFont="1" applyFill="1" applyAlignment="1">
      <alignment horizontal="center"/>
    </xf>
    <xf numFmtId="14" fontId="5" fillId="0" borderId="0" xfId="0" applyNumberFormat="1" applyFont="1" applyFill="1" applyAlignment="1">
      <alignment horizontal="center"/>
    </xf>
    <xf numFmtId="167" fontId="5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vertical="center"/>
    </xf>
    <xf numFmtId="41" fontId="6" fillId="0" borderId="1" xfId="0" applyNumberFormat="1" applyFont="1" applyFill="1" applyBorder="1" applyAlignment="1">
      <alignment horizontal="center" vertical="center"/>
    </xf>
    <xf numFmtId="43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vertical="top"/>
    </xf>
    <xf numFmtId="0" fontId="3" fillId="0" borderId="0" xfId="0" applyFont="1" applyFill="1" applyAlignment="1">
      <alignment horizontal="center" vertical="top"/>
    </xf>
    <xf numFmtId="0" fontId="24" fillId="0" borderId="0" xfId="0" applyFont="1" applyFill="1"/>
    <xf numFmtId="0" fontId="24" fillId="0" borderId="0" xfId="0" applyFont="1" applyFill="1" applyAlignment="1">
      <alignment horizontal="center"/>
    </xf>
    <xf numFmtId="41" fontId="24" fillId="0" borderId="0" xfId="0" applyNumberFormat="1" applyFont="1" applyFill="1"/>
    <xf numFmtId="3" fontId="25" fillId="0" borderId="0" xfId="0" applyNumberFormat="1" applyFont="1" applyFill="1" applyAlignment="1">
      <alignment horizontal="center"/>
    </xf>
    <xf numFmtId="0" fontId="25" fillId="0" borderId="1" xfId="0" applyFont="1" applyFill="1" applyBorder="1" applyAlignment="1">
      <alignment horizontal="center"/>
    </xf>
    <xf numFmtId="3" fontId="25" fillId="0" borderId="1" xfId="0" applyNumberFormat="1" applyFont="1" applyFill="1" applyBorder="1" applyAlignment="1">
      <alignment horizontal="center"/>
    </xf>
    <xf numFmtId="41" fontId="25" fillId="0" borderId="1" xfId="0" applyNumberFormat="1" applyFont="1" applyFill="1" applyBorder="1" applyAlignment="1">
      <alignment horizontal="center"/>
    </xf>
    <xf numFmtId="0" fontId="2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/>
    <xf numFmtId="3" fontId="24" fillId="0" borderId="1" xfId="2" applyNumberFormat="1" applyFont="1" applyFill="1" applyBorder="1"/>
    <xf numFmtId="3" fontId="24" fillId="0" borderId="1" xfId="0" applyNumberFormat="1" applyFont="1" applyFill="1" applyBorder="1"/>
    <xf numFmtId="10" fontId="24" fillId="0" borderId="1" xfId="0" applyNumberFormat="1" applyFont="1" applyFill="1" applyBorder="1"/>
    <xf numFmtId="10" fontId="24" fillId="0" borderId="1" xfId="4" applyNumberFormat="1" applyFont="1" applyFill="1" applyBorder="1"/>
    <xf numFmtId="41" fontId="24" fillId="0" borderId="1" xfId="2" applyFont="1" applyFill="1" applyBorder="1"/>
    <xf numFmtId="41" fontId="24" fillId="0" borderId="1" xfId="0" applyNumberFormat="1" applyFont="1" applyFill="1" applyBorder="1"/>
    <xf numFmtId="165" fontId="24" fillId="0" borderId="1" xfId="0" applyNumberFormat="1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/>
    </xf>
    <xf numFmtId="14" fontId="24" fillId="0" borderId="1" xfId="0" applyNumberFormat="1" applyFont="1" applyFill="1" applyBorder="1" applyAlignment="1">
      <alignment horizontal="center"/>
    </xf>
    <xf numFmtId="164" fontId="25" fillId="0" borderId="1" xfId="1" applyNumberFormat="1" applyFont="1" applyFill="1" applyBorder="1"/>
    <xf numFmtId="164" fontId="24" fillId="0" borderId="1" xfId="1" applyNumberFormat="1" applyFont="1" applyFill="1" applyBorder="1"/>
    <xf numFmtId="41" fontId="24" fillId="0" borderId="1" xfId="0" applyNumberFormat="1" applyFont="1" applyFill="1" applyBorder="1" applyAlignment="1">
      <alignment horizontal="center"/>
    </xf>
    <xf numFmtId="165" fontId="25" fillId="0" borderId="14" xfId="2" applyNumberFormat="1" applyFont="1" applyFill="1" applyBorder="1" applyAlignment="1">
      <alignment horizontal="center"/>
    </xf>
    <xf numFmtId="14" fontId="24" fillId="0" borderId="0" xfId="0" applyNumberFormat="1" applyFont="1" applyFill="1" applyAlignment="1">
      <alignment horizontal="center"/>
    </xf>
    <xf numFmtId="3" fontId="24" fillId="0" borderId="0" xfId="0" applyNumberFormat="1" applyFont="1" applyFill="1"/>
    <xf numFmtId="3" fontId="24" fillId="0" borderId="0" xfId="0" applyNumberFormat="1" applyFont="1" applyFill="1" applyAlignment="1">
      <alignment horizontal="center"/>
    </xf>
    <xf numFmtId="166" fontId="24" fillId="0" borderId="0" xfId="0" applyNumberFormat="1" applyFont="1" applyFill="1" applyAlignment="1">
      <alignment horizontal="center"/>
    </xf>
    <xf numFmtId="0" fontId="25" fillId="0" borderId="23" xfId="0" applyFont="1" applyFill="1" applyBorder="1" applyAlignment="1">
      <alignment horizontal="center" vertical="center" wrapText="1"/>
    </xf>
    <xf numFmtId="0" fontId="25" fillId="0" borderId="24" xfId="0" applyFont="1" applyFill="1" applyBorder="1" applyAlignment="1">
      <alignment horizontal="center" vertical="center" wrapText="1"/>
    </xf>
    <xf numFmtId="0" fontId="25" fillId="0" borderId="24" xfId="0" applyFont="1" applyFill="1" applyBorder="1" applyAlignment="1">
      <alignment horizontal="left" vertical="center" wrapText="1"/>
    </xf>
    <xf numFmtId="0" fontId="25" fillId="0" borderId="22" xfId="0" applyFont="1" applyFill="1" applyBorder="1" applyAlignment="1">
      <alignment horizontal="left" vertical="center" wrapText="1"/>
    </xf>
    <xf numFmtId="0" fontId="25" fillId="0" borderId="12" xfId="0" applyFont="1" applyFill="1" applyBorder="1" applyAlignment="1">
      <alignment horizontal="center"/>
    </xf>
    <xf numFmtId="41" fontId="25" fillId="0" borderId="13" xfId="2" applyNumberFormat="1" applyFont="1" applyFill="1" applyBorder="1"/>
    <xf numFmtId="0" fontId="25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 vertical="top" wrapText="1"/>
    </xf>
    <xf numFmtId="0" fontId="23" fillId="0" borderId="33" xfId="0" applyFont="1" applyFill="1" applyBorder="1" applyAlignment="1">
      <alignment vertical="top" wrapText="1"/>
    </xf>
    <xf numFmtId="43" fontId="25" fillId="0" borderId="1" xfId="1" applyFont="1" applyFill="1" applyBorder="1" applyAlignment="1">
      <alignment horizontal="center" vertical="center" wrapText="1"/>
    </xf>
    <xf numFmtId="43" fontId="24" fillId="0" borderId="0" xfId="1" applyFont="1" applyFill="1"/>
    <xf numFmtId="43" fontId="25" fillId="0" borderId="1" xfId="1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vertical="top" wrapText="1"/>
    </xf>
    <xf numFmtId="164" fontId="24" fillId="0" borderId="1" xfId="0" applyNumberFormat="1" applyFont="1" applyFill="1" applyBorder="1"/>
    <xf numFmtId="43" fontId="23" fillId="0" borderId="0" xfId="1" applyFont="1" applyFill="1" applyBorder="1" applyAlignment="1">
      <alignment vertical="top" wrapText="1"/>
    </xf>
    <xf numFmtId="164" fontId="24" fillId="0" borderId="1" xfId="4" applyNumberFormat="1" applyFont="1" applyFill="1" applyBorder="1"/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25" fillId="0" borderId="23" xfId="0" applyFont="1" applyFill="1" applyBorder="1" applyAlignment="1">
      <alignment horizontal="center"/>
    </xf>
    <xf numFmtId="0" fontId="25" fillId="0" borderId="24" xfId="0" applyFont="1" applyFill="1" applyBorder="1" applyAlignment="1">
      <alignment horizontal="center"/>
    </xf>
    <xf numFmtId="43" fontId="25" fillId="0" borderId="24" xfId="1" applyFont="1" applyFill="1" applyBorder="1"/>
    <xf numFmtId="43" fontId="25" fillId="0" borderId="22" xfId="1" applyFont="1" applyFill="1" applyBorder="1" applyAlignment="1">
      <alignment horizontal="right"/>
    </xf>
    <xf numFmtId="164" fontId="25" fillId="0" borderId="1" xfId="4" applyNumberFormat="1" applyFont="1" applyFill="1" applyBorder="1"/>
    <xf numFmtId="164" fontId="25" fillId="0" borderId="1" xfId="0" applyNumberFormat="1" applyFont="1" applyFill="1" applyBorder="1"/>
    <xf numFmtId="0" fontId="25" fillId="0" borderId="0" xfId="0" applyFont="1" applyFill="1"/>
    <xf numFmtId="43" fontId="25" fillId="0" borderId="1" xfId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19" fillId="0" borderId="1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vertical="top" wrapText="1"/>
    </xf>
    <xf numFmtId="3" fontId="20" fillId="0" borderId="0" xfId="0" applyNumberFormat="1" applyFont="1" applyFill="1" applyBorder="1"/>
    <xf numFmtId="0" fontId="19" fillId="0" borderId="19" xfId="0" applyFont="1" applyFill="1" applyBorder="1" applyAlignment="1">
      <alignment horizontal="right"/>
    </xf>
    <xf numFmtId="0" fontId="19" fillId="0" borderId="6" xfId="0" applyFont="1" applyFill="1" applyBorder="1" applyAlignment="1">
      <alignment horizontal="right"/>
    </xf>
    <xf numFmtId="0" fontId="20" fillId="0" borderId="6" xfId="0" applyFont="1" applyFill="1" applyBorder="1"/>
    <xf numFmtId="164" fontId="20" fillId="0" borderId="1" xfId="1" quotePrefix="1" applyNumberFormat="1" applyFont="1" applyFill="1" applyBorder="1" applyAlignment="1">
      <alignment horizontal="center"/>
    </xf>
    <xf numFmtId="164" fontId="20" fillId="0" borderId="1" xfId="1" applyNumberFormat="1" applyFont="1" applyFill="1" applyBorder="1" applyAlignment="1">
      <alignment horizontal="center"/>
    </xf>
    <xf numFmtId="164" fontId="20" fillId="0" borderId="1" xfId="0" quotePrefix="1" applyNumberFormat="1" applyFont="1" applyFill="1" applyBorder="1" applyAlignment="1">
      <alignment horizontal="center"/>
    </xf>
    <xf numFmtId="0" fontId="20" fillId="0" borderId="23" xfId="0" applyFont="1" applyFill="1" applyBorder="1"/>
    <xf numFmtId="41" fontId="20" fillId="0" borderId="23" xfId="0" applyNumberFormat="1" applyFont="1" applyFill="1" applyBorder="1"/>
    <xf numFmtId="165" fontId="6" fillId="0" borderId="19" xfId="0" applyNumberFormat="1" applyFont="1" applyFill="1" applyBorder="1"/>
    <xf numFmtId="0" fontId="5" fillId="0" borderId="6" xfId="0" applyFont="1" applyFill="1" applyBorder="1"/>
    <xf numFmtId="165" fontId="6" fillId="0" borderId="6" xfId="0" applyNumberFormat="1" applyFont="1" applyFill="1" applyBorder="1"/>
    <xf numFmtId="165" fontId="6" fillId="0" borderId="13" xfId="2" applyNumberFormat="1" applyFont="1" applyFill="1" applyBorder="1"/>
    <xf numFmtId="164" fontId="19" fillId="0" borderId="0" xfId="0" applyNumberFormat="1" applyFont="1" applyFill="1" applyBorder="1"/>
    <xf numFmtId="164" fontId="20" fillId="0" borderId="0" xfId="0" applyNumberFormat="1" applyFont="1" applyFill="1" applyBorder="1"/>
    <xf numFmtId="41" fontId="20" fillId="0" borderId="0" xfId="0" applyNumberFormat="1" applyFont="1" applyFill="1" applyBorder="1"/>
    <xf numFmtId="0" fontId="21" fillId="0" borderId="23" xfId="0" applyFont="1" applyFill="1" applyBorder="1"/>
    <xf numFmtId="41" fontId="21" fillId="0" borderId="23" xfId="0" applyNumberFormat="1" applyFont="1" applyFill="1" applyBorder="1"/>
    <xf numFmtId="164" fontId="5" fillId="0" borderId="0" xfId="0" applyNumberFormat="1" applyFont="1" applyFill="1" applyBorder="1"/>
    <xf numFmtId="0" fontId="21" fillId="0" borderId="0" xfId="0" applyFont="1" applyFill="1" applyBorder="1"/>
    <xf numFmtId="0" fontId="19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/>
    </xf>
    <xf numFmtId="41" fontId="5" fillId="0" borderId="25" xfId="0" applyNumberFormat="1" applyFont="1" applyFill="1" applyBorder="1"/>
    <xf numFmtId="41" fontId="5" fillId="0" borderId="26" xfId="0" applyNumberFormat="1" applyFont="1" applyFill="1" applyBorder="1"/>
    <xf numFmtId="0" fontId="18" fillId="0" borderId="1" xfId="0" applyFont="1" applyFill="1" applyBorder="1"/>
    <xf numFmtId="164" fontId="6" fillId="0" borderId="1" xfId="0" applyNumberFormat="1" applyFont="1" applyFill="1" applyBorder="1"/>
    <xf numFmtId="170" fontId="24" fillId="0" borderId="1" xfId="0" applyNumberFormat="1" applyFont="1" applyFill="1" applyBorder="1" applyAlignment="1">
      <alignment horizontal="center"/>
    </xf>
    <xf numFmtId="170" fontId="23" fillId="0" borderId="33" xfId="0" applyNumberFormat="1" applyFont="1" applyFill="1" applyBorder="1" applyAlignment="1">
      <alignment vertical="top" wrapText="1"/>
    </xf>
    <xf numFmtId="170" fontId="25" fillId="0" borderId="24" xfId="0" applyNumberFormat="1" applyFont="1" applyFill="1" applyBorder="1" applyAlignment="1">
      <alignment horizontal="center"/>
    </xf>
    <xf numFmtId="170" fontId="24" fillId="0" borderId="0" xfId="0" applyNumberFormat="1" applyFont="1" applyFill="1" applyAlignment="1">
      <alignment horizontal="center"/>
    </xf>
    <xf numFmtId="170" fontId="23" fillId="0" borderId="0" xfId="0" applyNumberFormat="1" applyFont="1" applyFill="1" applyAlignment="1">
      <alignment vertical="top" wrapText="1"/>
    </xf>
    <xf numFmtId="170" fontId="7" fillId="0" borderId="0" xfId="0" applyNumberFormat="1" applyFont="1" applyFill="1" applyAlignment="1">
      <alignment horizontal="center"/>
    </xf>
    <xf numFmtId="170" fontId="14" fillId="0" borderId="1" xfId="0" applyNumberFormat="1" applyFont="1" applyFill="1" applyBorder="1" applyAlignment="1">
      <alignment horizontal="center" vertical="center" wrapText="1"/>
    </xf>
    <xf numFmtId="170" fontId="20" fillId="0" borderId="1" xfId="0" applyNumberFormat="1" applyFont="1" applyFill="1" applyBorder="1" applyAlignment="1">
      <alignment horizontal="center"/>
    </xf>
    <xf numFmtId="170" fontId="14" fillId="0" borderId="1" xfId="0" applyNumberFormat="1" applyFont="1" applyFill="1" applyBorder="1" applyAlignment="1">
      <alignment horizontal="center" vertical="center"/>
    </xf>
    <xf numFmtId="170" fontId="20" fillId="0" borderId="0" xfId="0" applyNumberFormat="1" applyFont="1" applyFill="1" applyAlignment="1">
      <alignment horizontal="center"/>
    </xf>
    <xf numFmtId="170" fontId="5" fillId="0" borderId="0" xfId="0" applyNumberFormat="1" applyFont="1" applyFill="1" applyAlignment="1">
      <alignment horizontal="center"/>
    </xf>
    <xf numFmtId="0" fontId="6" fillId="2" borderId="0" xfId="3" applyFont="1" applyFill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6" fillId="2" borderId="0" xfId="3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43" fontId="25" fillId="0" borderId="1" xfId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0" fontId="25" fillId="0" borderId="1" xfId="0" applyNumberFormat="1" applyFont="1" applyFill="1" applyBorder="1" applyAlignment="1">
      <alignment horizontal="center" vertical="center" wrapText="1"/>
    </xf>
    <xf numFmtId="0" fontId="25" fillId="0" borderId="25" xfId="0" applyFont="1" applyFill="1" applyBorder="1" applyAlignment="1">
      <alignment horizontal="center" vertical="center" wrapText="1"/>
    </xf>
    <xf numFmtId="0" fontId="25" fillId="0" borderId="29" xfId="0" applyFont="1" applyFill="1" applyBorder="1" applyAlignment="1">
      <alignment horizontal="center" vertical="center" wrapText="1"/>
    </xf>
    <xf numFmtId="0" fontId="25" fillId="0" borderId="26" xfId="0" applyFont="1" applyFill="1" applyBorder="1" applyAlignment="1">
      <alignment horizontal="center" vertical="center" wrapText="1"/>
    </xf>
    <xf numFmtId="9" fontId="25" fillId="0" borderId="25" xfId="5" applyFont="1" applyFill="1" applyBorder="1" applyAlignment="1">
      <alignment horizontal="center" vertical="center" wrapText="1"/>
    </xf>
    <xf numFmtId="9" fontId="25" fillId="0" borderId="29" xfId="5" applyFont="1" applyFill="1" applyBorder="1" applyAlignment="1">
      <alignment horizontal="center" vertical="center" wrapText="1"/>
    </xf>
    <xf numFmtId="9" fontId="25" fillId="0" borderId="26" xfId="5" applyFont="1" applyFill="1" applyBorder="1" applyAlignment="1">
      <alignment horizontal="center" vertical="center" wrapText="1"/>
    </xf>
    <xf numFmtId="0" fontId="25" fillId="0" borderId="23" xfId="0" applyFont="1" applyFill="1" applyBorder="1" applyAlignment="1">
      <alignment horizontal="center" vertical="center" wrapText="1"/>
    </xf>
    <xf numFmtId="0" fontId="25" fillId="0" borderId="24" xfId="0" applyFont="1" applyFill="1" applyBorder="1" applyAlignment="1">
      <alignment horizontal="center" vertical="center" wrapText="1"/>
    </xf>
    <xf numFmtId="0" fontId="25" fillId="0" borderId="22" xfId="0" applyFont="1" applyFill="1" applyBorder="1" applyAlignment="1">
      <alignment horizontal="center" vertical="center" wrapText="1"/>
    </xf>
    <xf numFmtId="0" fontId="25" fillId="0" borderId="23" xfId="0" applyFont="1" applyFill="1" applyBorder="1" applyAlignment="1">
      <alignment horizontal="center" vertical="center"/>
    </xf>
    <xf numFmtId="0" fontId="25" fillId="0" borderId="2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wrapText="1"/>
    </xf>
    <xf numFmtId="0" fontId="23" fillId="0" borderId="33" xfId="0" applyFont="1" applyFill="1" applyBorder="1" applyAlignment="1">
      <alignment horizontal="center" vertical="top" wrapText="1"/>
    </xf>
    <xf numFmtId="0" fontId="25" fillId="0" borderId="23" xfId="0" applyFont="1" applyFill="1" applyBorder="1" applyAlignment="1">
      <alignment horizontal="right"/>
    </xf>
    <xf numFmtId="0" fontId="25" fillId="0" borderId="24" xfId="0" applyFont="1" applyFill="1" applyBorder="1" applyAlignment="1">
      <alignment horizontal="right"/>
    </xf>
    <xf numFmtId="0" fontId="25" fillId="0" borderId="22" xfId="0" applyFont="1" applyFill="1" applyBorder="1" applyAlignment="1">
      <alignment horizontal="right"/>
    </xf>
    <xf numFmtId="0" fontId="19" fillId="0" borderId="25" xfId="0" applyFont="1" applyFill="1" applyBorder="1" applyAlignment="1">
      <alignment horizontal="center" vertical="center"/>
    </xf>
    <xf numFmtId="0" fontId="19" fillId="0" borderId="29" xfId="0" applyFont="1" applyFill="1" applyBorder="1" applyAlignment="1">
      <alignment horizontal="center" vertical="center"/>
    </xf>
    <xf numFmtId="0" fontId="19" fillId="0" borderId="26" xfId="0" applyFont="1" applyFill="1" applyBorder="1" applyAlignment="1">
      <alignment horizontal="center" vertical="center"/>
    </xf>
    <xf numFmtId="170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/>
    </xf>
    <xf numFmtId="0" fontId="19" fillId="0" borderId="25" xfId="0" applyFont="1" applyFill="1" applyBorder="1" applyAlignment="1">
      <alignment horizontal="center" vertical="center" wrapText="1"/>
    </xf>
    <xf numFmtId="0" fontId="19" fillId="0" borderId="29" xfId="0" applyFont="1" applyFill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right" vertical="top" wrapText="1"/>
    </xf>
  </cellXfs>
  <cellStyles count="6">
    <cellStyle name="Comma" xfId="1" builtinId="3"/>
    <cellStyle name="Comma [0]" xfId="2" builtinId="6"/>
    <cellStyle name="Normal" xfId="0" builtinId="0"/>
    <cellStyle name="Normal 4" xfId="3"/>
    <cellStyle name="Percent" xfId="4" builtinId="5"/>
    <cellStyle name="Percent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2.%20PROJECT%20MANAGEMENT/2.%20BIIG2/3.%20FS/Gov%20-%20ND%2016/Quang%20Binh/Draft%202/V2%20-%20FS%20TMDT%20BIIF2%20%20Q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HP/Downloads/Draft%201/V1%20-%20FS%20TMDT%20BIIF2%20%20Q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h muc thang 10"/>
      <sheetName val="TMDT THEO DANH MỤC"/>
      <sheetName val="TMDT"/>
      <sheetName val="Phân bổ vốn"/>
      <sheetName val="Co cau+Tiendo"/>
      <sheetName val="Financing Plan"/>
      <sheetName val="Sheet2"/>
      <sheetName val="Sheet1"/>
      <sheetName val="LaiVayXD"/>
      <sheetName val="DieuKien"/>
      <sheetName val="ARM+BienDo"/>
      <sheetName val="LIBOR"/>
      <sheetName val="SoDo"/>
      <sheetName val="ADF QB"/>
      <sheetName val="OCR QB"/>
      <sheetName val="KHtrano ADF"/>
      <sheetName val="KHTraNoOCR"/>
    </sheetNames>
    <sheetDataSet>
      <sheetData sheetId="0"/>
      <sheetData sheetId="1"/>
      <sheetData sheetId="2">
        <row r="3">
          <cell r="F3">
            <v>22300</v>
          </cell>
        </row>
        <row r="8">
          <cell r="G8">
            <v>22704776.325679764</v>
          </cell>
          <cell r="J8">
            <v>8050129.2690582955</v>
          </cell>
        </row>
        <row r="18">
          <cell r="D18">
            <v>500000</v>
          </cell>
        </row>
        <row r="19">
          <cell r="D19">
            <v>3442511.2107623317</v>
          </cell>
        </row>
        <row r="20">
          <cell r="G20">
            <v>499505.07916495483</v>
          </cell>
          <cell r="J20">
            <v>205761.30411713</v>
          </cell>
          <cell r="O20">
            <v>1281372.6398684515</v>
          </cell>
        </row>
        <row r="27">
          <cell r="D27">
            <v>960597.98190773535</v>
          </cell>
        </row>
        <row r="30">
          <cell r="J30">
            <v>1002090.6403296851</v>
          </cell>
          <cell r="O30">
            <v>2863849.3596703149</v>
          </cell>
        </row>
        <row r="31">
          <cell r="G31">
            <v>1045718.2922152401</v>
          </cell>
        </row>
      </sheetData>
      <sheetData sheetId="3">
        <row r="9">
          <cell r="C9">
            <v>9.0483311922088348</v>
          </cell>
          <cell r="E9">
            <v>5.3069755718799314</v>
          </cell>
          <cell r="G9">
            <v>3.7413556203289033</v>
          </cell>
        </row>
      </sheetData>
      <sheetData sheetId="4">
        <row r="7">
          <cell r="F7">
            <v>2270477.6325679766</v>
          </cell>
          <cell r="G7">
            <v>6811432.8977039289</v>
          </cell>
          <cell r="H7">
            <v>6811432.8977039289</v>
          </cell>
          <cell r="I7">
            <v>6811432.8977039289</v>
          </cell>
        </row>
        <row r="8">
          <cell r="F8">
            <v>74925.761874743228</v>
          </cell>
          <cell r="G8">
            <v>149851.52374948646</v>
          </cell>
          <cell r="H8">
            <v>174826.77770773417</v>
          </cell>
          <cell r="I8">
            <v>99901.015832990975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2">
          <cell r="F12">
            <v>805012.92690582958</v>
          </cell>
          <cell r="G12">
            <v>2415038.7807174884</v>
          </cell>
          <cell r="H12">
            <v>3220051.7076233183</v>
          </cell>
          <cell r="I12">
            <v>1610025.8538116592</v>
          </cell>
        </row>
        <row r="13">
          <cell r="F13">
            <v>82304.521646852008</v>
          </cell>
          <cell r="G13">
            <v>41152.260823426004</v>
          </cell>
          <cell r="H13">
            <v>41152.260823426004</v>
          </cell>
          <cell r="I13">
            <v>41152.260823426004</v>
          </cell>
        </row>
        <row r="14">
          <cell r="F14">
            <v>100209.06403296851</v>
          </cell>
          <cell r="G14">
            <v>200418.12806593702</v>
          </cell>
          <cell r="H14">
            <v>400836.25613187405</v>
          </cell>
          <cell r="I14">
            <v>300627.19209890551</v>
          </cell>
        </row>
      </sheetData>
      <sheetData sheetId="5"/>
      <sheetData sheetId="6"/>
      <sheetData sheetId="7"/>
      <sheetData sheetId="8">
        <row r="7">
          <cell r="C7">
            <v>0</v>
          </cell>
          <cell r="D7">
            <v>47142.606467815727</v>
          </cell>
          <cell r="E7">
            <v>188529.66255040583</v>
          </cell>
          <cell r="F7">
            <v>332225.24477600784</v>
          </cell>
          <cell r="G7">
            <v>477820.77842101071</v>
          </cell>
        </row>
        <row r="8">
          <cell r="C8">
            <v>0</v>
          </cell>
          <cell r="D8">
            <v>20555.211807793021</v>
          </cell>
          <cell r="E8">
            <v>77979.903489910561</v>
          </cell>
          <cell r="F8">
            <v>160480.913185193</v>
          </cell>
          <cell r="G8">
            <v>211888.36002746416</v>
          </cell>
          <cell r="H8">
            <v>223450.4250160387</v>
          </cell>
          <cell r="I8">
            <v>694354.81352639943</v>
          </cell>
        </row>
        <row r="9">
          <cell r="C9">
            <v>13886.971820257668</v>
          </cell>
          <cell r="D9">
            <v>12405.682051379194</v>
          </cell>
          <cell r="E9">
            <v>8443.8388950428034</v>
          </cell>
          <cell r="F9">
            <v>2927.7079601009882</v>
          </cell>
          <cell r="G9">
            <v>0</v>
          </cell>
          <cell r="I9">
            <v>37664.200726780655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>
        <row r="19">
          <cell r="I19">
            <v>9727105.4849225469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h muc thang 10"/>
      <sheetName val="TMDT THEO DANH MỤC"/>
      <sheetName val="TMDT"/>
      <sheetName val="Phân bổ vốn"/>
      <sheetName val="Co cau+Tiendo"/>
      <sheetName val="Financing Plan"/>
      <sheetName val="LaiVayXD"/>
      <sheetName val="DieuKien"/>
      <sheetName val="ARM+BienDo"/>
      <sheetName val="LIBOR"/>
      <sheetName val="SoDo"/>
      <sheetName val="ADF QB"/>
      <sheetName val="OCR QB"/>
      <sheetName val="KHtrano ADF"/>
      <sheetName val="KHTraNoOCR"/>
      <sheetName val="KHTraNoOC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>
            <v>0</v>
          </cell>
          <cell r="F6">
            <v>2345403.3944427199</v>
          </cell>
          <cell r="G6">
            <v>6961284.4214534154</v>
          </cell>
          <cell r="H6">
            <v>6986259.675411663</v>
          </cell>
          <cell r="I6">
            <v>6911333.9135369202</v>
          </cell>
        </row>
        <row r="11">
          <cell r="E11">
            <v>0</v>
          </cell>
          <cell r="F11">
            <v>987526.51258565008</v>
          </cell>
          <cell r="G11">
            <v>2656609.1696068514</v>
          </cell>
          <cell r="H11">
            <v>3662040.2245786181</v>
          </cell>
          <cell r="I11">
            <v>1951805.3067339908</v>
          </cell>
        </row>
      </sheetData>
      <sheetData sheetId="5" refreshError="1"/>
      <sheetData sheetId="6" refreshError="1"/>
      <sheetData sheetId="7" refreshError="1">
        <row r="3">
          <cell r="C3">
            <v>24249999.697059959</v>
          </cell>
        </row>
        <row r="16">
          <cell r="D16">
            <v>9257981.2135051116</v>
          </cell>
        </row>
        <row r="17">
          <cell r="D17">
            <v>5.0000000000000001E-3</v>
          </cell>
        </row>
        <row r="18">
          <cell r="D18">
            <v>22300</v>
          </cell>
        </row>
      </sheetData>
      <sheetData sheetId="8" refreshError="1"/>
      <sheetData sheetId="9" refreshError="1">
        <row r="5">
          <cell r="B5">
            <v>1.3931333333333333</v>
          </cell>
        </row>
        <row r="6">
          <cell r="B6">
            <v>1.4769166666666667</v>
          </cell>
        </row>
        <row r="7">
          <cell r="B7">
            <v>1.5607</v>
          </cell>
        </row>
        <row r="8">
          <cell r="B8">
            <v>1.580775</v>
          </cell>
        </row>
        <row r="9">
          <cell r="B9">
            <v>1.6008500000000001</v>
          </cell>
        </row>
        <row r="10">
          <cell r="B10">
            <v>1.6209250000000002</v>
          </cell>
        </row>
        <row r="11">
          <cell r="B11">
            <v>1.641</v>
          </cell>
        </row>
        <row r="12">
          <cell r="B12">
            <v>1.67025</v>
          </cell>
        </row>
        <row r="13">
          <cell r="B13">
            <v>1.6995</v>
          </cell>
        </row>
        <row r="14">
          <cell r="B14">
            <v>1.72875</v>
          </cell>
        </row>
        <row r="15">
          <cell r="B15">
            <v>1.758</v>
          </cell>
        </row>
        <row r="16">
          <cell r="B16">
            <v>1.8093333333333332</v>
          </cell>
        </row>
        <row r="17">
          <cell r="B17">
            <v>1.8606666666666665</v>
          </cell>
        </row>
        <row r="18">
          <cell r="B18">
            <v>1.9119999999999997</v>
          </cell>
        </row>
        <row r="19">
          <cell r="B19">
            <v>1.9633333333333329</v>
          </cell>
        </row>
        <row r="20">
          <cell r="B20">
            <v>2.0146666666666664</v>
          </cell>
        </row>
        <row r="21">
          <cell r="B21">
            <v>2.0659999999999998</v>
          </cell>
        </row>
        <row r="22">
          <cell r="B22">
            <v>2.0935999999999999</v>
          </cell>
        </row>
        <row r="23">
          <cell r="B23">
            <v>2.1212</v>
          </cell>
        </row>
        <row r="24">
          <cell r="B24">
            <v>2.1488</v>
          </cell>
        </row>
        <row r="25">
          <cell r="B25">
            <v>2.1764000000000001</v>
          </cell>
        </row>
        <row r="26">
          <cell r="B26">
            <v>2.2040000000000002</v>
          </cell>
        </row>
        <row r="27">
          <cell r="B27">
            <v>2.2316000000000003</v>
          </cell>
        </row>
        <row r="28">
          <cell r="B28">
            <v>2.2592000000000003</v>
          </cell>
        </row>
        <row r="29">
          <cell r="B29">
            <v>2.2868000000000004</v>
          </cell>
        </row>
        <row r="30">
          <cell r="B30">
            <v>2.3144000000000005</v>
          </cell>
        </row>
        <row r="31">
          <cell r="B31">
            <v>2.3420000000000001</v>
          </cell>
        </row>
        <row r="32">
          <cell r="B32">
            <v>2.3546</v>
          </cell>
        </row>
        <row r="33">
          <cell r="B33">
            <v>2.3672</v>
          </cell>
        </row>
        <row r="34">
          <cell r="B34">
            <v>2.3797999999999999</v>
          </cell>
        </row>
        <row r="35">
          <cell r="B35">
            <v>2.3923999999999999</v>
          </cell>
        </row>
        <row r="36">
          <cell r="B36">
            <v>2.4049999999999998</v>
          </cell>
        </row>
        <row r="37">
          <cell r="B37">
            <v>2.4175999999999997</v>
          </cell>
        </row>
        <row r="38">
          <cell r="B38">
            <v>2.4301999999999997</v>
          </cell>
        </row>
        <row r="39">
          <cell r="B39">
            <v>2.4427999999999996</v>
          </cell>
        </row>
        <row r="40">
          <cell r="B40">
            <v>2.4553999999999996</v>
          </cell>
        </row>
        <row r="41">
          <cell r="B41">
            <v>2.468</v>
          </cell>
        </row>
        <row r="42">
          <cell r="B42">
            <v>2.4726499999999998</v>
          </cell>
        </row>
        <row r="43">
          <cell r="B43">
            <v>2.4772999999999996</v>
          </cell>
        </row>
        <row r="44">
          <cell r="B44">
            <v>2.4819499999999994</v>
          </cell>
        </row>
        <row r="45">
          <cell r="B45">
            <v>2.4865999999999993</v>
          </cell>
        </row>
        <row r="46">
          <cell r="B46">
            <v>2.4912499999999991</v>
          </cell>
        </row>
        <row r="47">
          <cell r="B47">
            <v>2.4958999999999989</v>
          </cell>
        </row>
        <row r="48">
          <cell r="B48">
            <v>2.5005499999999987</v>
          </cell>
        </row>
        <row r="49">
          <cell r="B49">
            <v>2.5051999999999985</v>
          </cell>
        </row>
        <row r="50">
          <cell r="B50">
            <v>2.5098499999999984</v>
          </cell>
        </row>
        <row r="51">
          <cell r="B51">
            <v>2.5144999999999982</v>
          </cell>
        </row>
        <row r="52">
          <cell r="B52">
            <v>2.519149999999998</v>
          </cell>
        </row>
        <row r="53">
          <cell r="B53">
            <v>2.5237999999999978</v>
          </cell>
        </row>
        <row r="54">
          <cell r="B54">
            <v>2.5284499999999976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H10" sqref="H10"/>
    </sheetView>
  </sheetViews>
  <sheetFormatPr baseColWidth="10" defaultColWidth="9.3984375" defaultRowHeight="16" x14ac:dyDescent="0.15"/>
  <cols>
    <col min="1" max="1" width="8.19921875" style="53" customWidth="1"/>
    <col min="2" max="2" width="52.19921875" style="4" customWidth="1"/>
    <col min="3" max="3" width="2.796875" style="2" customWidth="1"/>
    <col min="4" max="4" width="18" style="4" customWidth="1"/>
    <col min="5" max="5" width="13.796875" style="4" customWidth="1"/>
    <col min="6" max="6" width="2.796875" style="2" customWidth="1"/>
    <col min="7" max="7" width="12.3984375" style="4" customWidth="1"/>
    <col min="8" max="9" width="20" style="4" bestFit="1" customWidth="1"/>
    <col min="10" max="11" width="18.3984375" style="4" bestFit="1" customWidth="1"/>
    <col min="12" max="12" width="18.3984375" style="4" customWidth="1"/>
    <col min="13" max="16384" width="9.3984375" style="4"/>
  </cols>
  <sheetData>
    <row r="1" spans="1:12" x14ac:dyDescent="0.15">
      <c r="A1" s="273" t="s">
        <v>44</v>
      </c>
      <c r="B1" s="273"/>
      <c r="D1" s="3"/>
      <c r="G1" s="5">
        <f>G6/$D$6</f>
        <v>0</v>
      </c>
      <c r="H1" s="5">
        <f>H6/$D$6</f>
        <v>9.8661691991715983E-2</v>
      </c>
      <c r="I1" s="5">
        <f>I6/$D$6</f>
        <v>0.29483769786894704</v>
      </c>
      <c r="J1" s="5">
        <f>J6/$D$6</f>
        <v>0.30179319635517171</v>
      </c>
      <c r="K1" s="5">
        <f>K6/$D$6</f>
        <v>0.30470741378416527</v>
      </c>
    </row>
    <row r="2" spans="1:12" x14ac:dyDescent="0.15">
      <c r="A2" s="274" t="s">
        <v>1</v>
      </c>
      <c r="B2" s="274" t="s">
        <v>45</v>
      </c>
      <c r="C2" s="6"/>
      <c r="D2" s="272" t="s">
        <v>46</v>
      </c>
      <c r="E2" s="272"/>
      <c r="F2" s="6"/>
      <c r="G2" s="272" t="s">
        <v>47</v>
      </c>
      <c r="H2" s="272"/>
      <c r="I2" s="272"/>
      <c r="J2" s="272"/>
      <c r="K2" s="272"/>
    </row>
    <row r="3" spans="1:12" x14ac:dyDescent="0.15">
      <c r="A3" s="274"/>
      <c r="B3" s="274"/>
      <c r="C3" s="7"/>
      <c r="D3" s="8" t="s">
        <v>48</v>
      </c>
      <c r="E3" s="9" t="s">
        <v>49</v>
      </c>
      <c r="F3" s="7"/>
      <c r="G3" s="10">
        <v>2018</v>
      </c>
      <c r="H3" s="10">
        <v>2019</v>
      </c>
      <c r="I3" s="10">
        <v>2020</v>
      </c>
      <c r="J3" s="10">
        <v>2021</v>
      </c>
      <c r="K3" s="10">
        <v>2022</v>
      </c>
    </row>
    <row r="4" spans="1:12" x14ac:dyDescent="0.15">
      <c r="A4" s="11"/>
      <c r="B4" s="11" t="s">
        <v>50</v>
      </c>
      <c r="C4" s="7"/>
      <c r="D4" s="12"/>
      <c r="E4" s="13"/>
      <c r="F4" s="7"/>
      <c r="G4" s="14">
        <f>G24/$D$24</f>
        <v>1.5325818178928644E-2</v>
      </c>
      <c r="H4" s="14">
        <f>H24/$D$24</f>
        <v>0.14383199303196778</v>
      </c>
      <c r="I4" s="14">
        <f>I24/$D$24</f>
        <v>0.29468546571164467</v>
      </c>
      <c r="J4" s="14">
        <f>J24/$D$24</f>
        <v>0.28999606512620013</v>
      </c>
      <c r="K4" s="14">
        <f>K24/$D$24</f>
        <v>0.25616065795125875</v>
      </c>
    </row>
    <row r="5" spans="1:12" x14ac:dyDescent="0.15">
      <c r="A5" s="11" t="s">
        <v>2</v>
      </c>
      <c r="B5" s="15" t="s">
        <v>51</v>
      </c>
      <c r="C5" s="16"/>
      <c r="D5" s="17">
        <f>D6+D11</f>
        <v>34239999.924818248</v>
      </c>
      <c r="E5" s="18">
        <f t="shared" ref="E5:E24" si="0">D5*fx/10^9</f>
        <v>763.55199832344692</v>
      </c>
      <c r="F5" s="16"/>
      <c r="G5" s="19">
        <f>G6+G11</f>
        <v>13886.971820257668</v>
      </c>
      <c r="H5" s="19">
        <f>H6+H11</f>
        <v>3413033.4073553579</v>
      </c>
      <c r="I5" s="20">
        <f>I6+I11</f>
        <v>9892846.9959956259</v>
      </c>
      <c r="J5" s="19">
        <f>J6+J11</f>
        <v>11143933.765911583</v>
      </c>
      <c r="K5" s="19">
        <f>K6+K11</f>
        <v>9776298.7837354243</v>
      </c>
    </row>
    <row r="6" spans="1:12" x14ac:dyDescent="0.15">
      <c r="A6" s="11" t="s">
        <v>52</v>
      </c>
      <c r="B6" s="15" t="s">
        <v>53</v>
      </c>
      <c r="C6" s="16"/>
      <c r="D6" s="17">
        <f>SUM(D7:D10)</f>
        <v>24249999.697059959</v>
      </c>
      <c r="E6" s="18">
        <f t="shared" si="0"/>
        <v>540.77499324443704</v>
      </c>
      <c r="F6" s="16"/>
      <c r="G6" s="21">
        <f>SUM(G7:G10)</f>
        <v>0</v>
      </c>
      <c r="H6" s="21">
        <f>SUM(H7:H10)</f>
        <v>2392546.0009105355</v>
      </c>
      <c r="I6" s="21">
        <f>SUM(I7:I10)</f>
        <v>7149814.084003821</v>
      </c>
      <c r="J6" s="21">
        <f>SUM(J7:J10)</f>
        <v>7318484.9201876707</v>
      </c>
      <c r="K6" s="21">
        <f>SUM(K7:K10)</f>
        <v>7389154.691957931</v>
      </c>
      <c r="L6" s="22">
        <f>G6+G11</f>
        <v>13886.971820257668</v>
      </c>
    </row>
    <row r="7" spans="1:12" x14ac:dyDescent="0.15">
      <c r="A7" s="23">
        <v>1</v>
      </c>
      <c r="B7" s="24" t="s">
        <v>54</v>
      </c>
      <c r="C7" s="25"/>
      <c r="D7" s="26">
        <f>[1]TMDT!G8</f>
        <v>22704776.325679764</v>
      </c>
      <c r="E7" s="27">
        <f t="shared" si="0"/>
        <v>506.31651206265877</v>
      </c>
      <c r="F7" s="25"/>
      <c r="G7" s="28">
        <f>'[1]Co cau+Tiendo'!E7</f>
        <v>0</v>
      </c>
      <c r="H7" s="28">
        <f>'[1]Co cau+Tiendo'!F7</f>
        <v>2270477.6325679766</v>
      </c>
      <c r="I7" s="28">
        <f>'[1]Co cau+Tiendo'!G7</f>
        <v>6811432.8977039289</v>
      </c>
      <c r="J7" s="28">
        <f>'[1]Co cau+Tiendo'!H7</f>
        <v>6811432.8977039289</v>
      </c>
      <c r="K7" s="28">
        <f>'[1]Co cau+Tiendo'!I7</f>
        <v>6811432.8977039289</v>
      </c>
    </row>
    <row r="8" spans="1:12" x14ac:dyDescent="0.15">
      <c r="A8" s="23">
        <v>2</v>
      </c>
      <c r="B8" s="29" t="s">
        <v>55</v>
      </c>
      <c r="C8" s="25"/>
      <c r="D8" s="30">
        <f>[1]TMDT!G20</f>
        <v>499505.07916495483</v>
      </c>
      <c r="E8" s="27"/>
      <c r="F8" s="25"/>
      <c r="G8" s="28">
        <f>'[1]Co cau+Tiendo'!E8</f>
        <v>0</v>
      </c>
      <c r="H8" s="28">
        <f>'[1]Co cau+Tiendo'!F8</f>
        <v>74925.761874743228</v>
      </c>
      <c r="I8" s="28">
        <f>'[1]Co cau+Tiendo'!G8</f>
        <v>149851.52374948646</v>
      </c>
      <c r="J8" s="28">
        <f>'[1]Co cau+Tiendo'!H8</f>
        <v>174826.77770773417</v>
      </c>
      <c r="K8" s="28">
        <f>'[1]Co cau+Tiendo'!I8</f>
        <v>99901.015832990975</v>
      </c>
      <c r="L8" s="22">
        <f>L6*fx/10^3</f>
        <v>309679.47159174597</v>
      </c>
    </row>
    <row r="9" spans="1:12" x14ac:dyDescent="0.15">
      <c r="A9" s="23">
        <v>3</v>
      </c>
      <c r="B9" s="24" t="s">
        <v>56</v>
      </c>
      <c r="C9" s="25"/>
      <c r="D9" s="30"/>
      <c r="E9" s="27"/>
      <c r="F9" s="25"/>
      <c r="G9" s="28">
        <f>'[1]Co cau+Tiendo'!E9</f>
        <v>0</v>
      </c>
      <c r="H9" s="28">
        <f>'[1]Co cau+Tiendo'!F9</f>
        <v>0</v>
      </c>
      <c r="I9" s="28">
        <f>'[1]Co cau+Tiendo'!G9</f>
        <v>0</v>
      </c>
      <c r="J9" s="28">
        <f>'[1]Co cau+Tiendo'!H9</f>
        <v>0</v>
      </c>
      <c r="K9" s="28">
        <f>'[1]Co cau+Tiendo'!I9</f>
        <v>0</v>
      </c>
    </row>
    <row r="10" spans="1:12" x14ac:dyDescent="0.15">
      <c r="A10" s="23">
        <v>4</v>
      </c>
      <c r="B10" s="24" t="s">
        <v>57</v>
      </c>
      <c r="C10" s="25"/>
      <c r="D10" s="30">
        <f>[1]TMDT!G31</f>
        <v>1045718.2922152401</v>
      </c>
      <c r="E10" s="27">
        <f t="shared" si="0"/>
        <v>23.319517916399853</v>
      </c>
      <c r="F10" s="25"/>
      <c r="G10" s="28">
        <f>[1]LaiVayXD!C7</f>
        <v>0</v>
      </c>
      <c r="H10" s="28">
        <f>[1]LaiVayXD!D7</f>
        <v>47142.606467815727</v>
      </c>
      <c r="I10" s="28">
        <f>[1]LaiVayXD!E7</f>
        <v>188529.66255040583</v>
      </c>
      <c r="J10" s="28">
        <f>[1]LaiVayXD!F7</f>
        <v>332225.24477600784</v>
      </c>
      <c r="K10" s="28">
        <f>[1]LaiVayXD!G7</f>
        <v>477820.77842101071</v>
      </c>
    </row>
    <row r="11" spans="1:12" x14ac:dyDescent="0.15">
      <c r="A11" s="11" t="s">
        <v>58</v>
      </c>
      <c r="B11" s="15" t="s">
        <v>59</v>
      </c>
      <c r="C11" s="16"/>
      <c r="D11" s="17">
        <f>SUM(D12:D15)</f>
        <v>9990000.2277582921</v>
      </c>
      <c r="E11" s="18">
        <f t="shared" si="0"/>
        <v>222.77700507900991</v>
      </c>
      <c r="F11" s="16"/>
      <c r="G11" s="31">
        <f>SUM(G12:G15)</f>
        <v>13886.971820257668</v>
      </c>
      <c r="H11" s="31">
        <f>SUM(H12:H15)</f>
        <v>1020487.4064448223</v>
      </c>
      <c r="I11" s="31">
        <f>SUM(I12:I15)</f>
        <v>2743032.9119918048</v>
      </c>
      <c r="J11" s="31">
        <f>SUM(J12:J15)</f>
        <v>3825448.8457239121</v>
      </c>
      <c r="K11" s="31">
        <f>SUM(K12:K15)</f>
        <v>2387144.0917774937</v>
      </c>
    </row>
    <row r="12" spans="1:12" x14ac:dyDescent="0.15">
      <c r="A12" s="23">
        <v>1</v>
      </c>
      <c r="B12" s="24" t="s">
        <v>60</v>
      </c>
      <c r="C12" s="25"/>
      <c r="D12" s="26">
        <f>[1]TMDT!J8</f>
        <v>8050129.2690582955</v>
      </c>
      <c r="E12" s="27">
        <f t="shared" si="0"/>
        <v>179.5178827</v>
      </c>
      <c r="F12" s="25"/>
      <c r="G12" s="28">
        <f>'[1]Co cau+Tiendo'!E12</f>
        <v>0</v>
      </c>
      <c r="H12" s="28">
        <f>'[1]Co cau+Tiendo'!F12</f>
        <v>805012.92690582958</v>
      </c>
      <c r="I12" s="28">
        <f>'[1]Co cau+Tiendo'!G12</f>
        <v>2415038.7807174884</v>
      </c>
      <c r="J12" s="28">
        <f>'[1]Co cau+Tiendo'!H12</f>
        <v>3220051.7076233183</v>
      </c>
      <c r="K12" s="28">
        <f>'[1]Co cau+Tiendo'!I12</f>
        <v>1610025.8538116592</v>
      </c>
    </row>
    <row r="13" spans="1:12" x14ac:dyDescent="0.15">
      <c r="A13" s="23">
        <v>2</v>
      </c>
      <c r="B13" s="24" t="s">
        <v>55</v>
      </c>
      <c r="C13" s="25"/>
      <c r="D13" s="30">
        <f>[1]TMDT!J20</f>
        <v>205761.30411713</v>
      </c>
      <c r="E13" s="27"/>
      <c r="F13" s="25"/>
      <c r="G13" s="28">
        <f>'[1]Co cau+Tiendo'!E13</f>
        <v>0</v>
      </c>
      <c r="H13" s="28">
        <f>'[1]Co cau+Tiendo'!F13</f>
        <v>82304.521646852008</v>
      </c>
      <c r="I13" s="28">
        <f>'[1]Co cau+Tiendo'!G13</f>
        <v>41152.260823426004</v>
      </c>
      <c r="J13" s="28">
        <f>'[1]Co cau+Tiendo'!H13</f>
        <v>41152.260823426004</v>
      </c>
      <c r="K13" s="28">
        <f>'[1]Co cau+Tiendo'!I13</f>
        <v>41152.260823426004</v>
      </c>
    </row>
    <row r="14" spans="1:12" x14ac:dyDescent="0.15">
      <c r="A14" s="23">
        <v>3</v>
      </c>
      <c r="B14" s="24" t="s">
        <v>56</v>
      </c>
      <c r="C14" s="25"/>
      <c r="D14" s="30">
        <f>[1]TMDT!J30</f>
        <v>1002090.6403296851</v>
      </c>
      <c r="E14" s="27"/>
      <c r="F14" s="25"/>
      <c r="G14" s="28">
        <f>'[1]Co cau+Tiendo'!E14</f>
        <v>0</v>
      </c>
      <c r="H14" s="28">
        <f>'[1]Co cau+Tiendo'!F14</f>
        <v>100209.06403296851</v>
      </c>
      <c r="I14" s="28">
        <f>'[1]Co cau+Tiendo'!G14</f>
        <v>200418.12806593702</v>
      </c>
      <c r="J14" s="28">
        <f>'[1]Co cau+Tiendo'!H14</f>
        <v>400836.25613187405</v>
      </c>
      <c r="K14" s="28">
        <f>'[1]Co cau+Tiendo'!I14</f>
        <v>300627.19209890551</v>
      </c>
    </row>
    <row r="15" spans="1:12" s="33" customFormat="1" x14ac:dyDescent="0.15">
      <c r="A15" s="23">
        <v>4</v>
      </c>
      <c r="B15" s="24" t="s">
        <v>57</v>
      </c>
      <c r="C15" s="25"/>
      <c r="D15" s="30">
        <f>D16+D17</f>
        <v>732019.01425318012</v>
      </c>
      <c r="E15" s="27">
        <f t="shared" si="0"/>
        <v>16.324024017845918</v>
      </c>
      <c r="F15" s="25"/>
      <c r="G15" s="32">
        <f>G16+G17</f>
        <v>13886.971820257668</v>
      </c>
      <c r="H15" s="32">
        <f>H16+H17</f>
        <v>32960.893859172211</v>
      </c>
      <c r="I15" s="32">
        <f>I16+I17</f>
        <v>86423.742384953366</v>
      </c>
      <c r="J15" s="32">
        <f>J16+J17</f>
        <v>163408.62114529399</v>
      </c>
      <c r="K15" s="32">
        <f>K16+K17</f>
        <v>435338.78504350287</v>
      </c>
    </row>
    <row r="16" spans="1:12" s="33" customFormat="1" x14ac:dyDescent="0.15">
      <c r="A16" s="34"/>
      <c r="B16" s="35" t="s">
        <v>61</v>
      </c>
      <c r="C16" s="36"/>
      <c r="D16" s="32">
        <f>[1]LaiVayXD!I8</f>
        <v>694354.81352639943</v>
      </c>
      <c r="E16" s="37">
        <f t="shared" si="0"/>
        <v>15.484112341638708</v>
      </c>
      <c r="F16" s="36"/>
      <c r="G16" s="38">
        <f>[1]LaiVayXD!C8</f>
        <v>0</v>
      </c>
      <c r="H16" s="38">
        <f>[1]LaiVayXD!D8</f>
        <v>20555.211807793021</v>
      </c>
      <c r="I16" s="38">
        <f>[1]LaiVayXD!E8</f>
        <v>77979.903489910561</v>
      </c>
      <c r="J16" s="38">
        <f>[1]LaiVayXD!F8</f>
        <v>160480.913185193</v>
      </c>
      <c r="K16" s="38">
        <f>[1]LaiVayXD!G8+[1]LaiVayXD!H8</f>
        <v>435338.78504350287</v>
      </c>
    </row>
    <row r="17" spans="1:11" s="33" customFormat="1" x14ac:dyDescent="0.15">
      <c r="A17" s="34"/>
      <c r="B17" s="35" t="s">
        <v>62</v>
      </c>
      <c r="C17" s="36"/>
      <c r="D17" s="32">
        <f>[1]LaiVayXD!I9</f>
        <v>37664.200726780655</v>
      </c>
      <c r="E17" s="37">
        <f t="shared" si="0"/>
        <v>0.83991167620720864</v>
      </c>
      <c r="F17" s="36"/>
      <c r="G17" s="32">
        <f>[1]LaiVayXD!C9</f>
        <v>13886.971820257668</v>
      </c>
      <c r="H17" s="32">
        <f>[1]LaiVayXD!D9</f>
        <v>12405.682051379194</v>
      </c>
      <c r="I17" s="32">
        <f>[1]LaiVayXD!E9</f>
        <v>8443.8388950428034</v>
      </c>
      <c r="J17" s="32">
        <f>[1]LaiVayXD!F9</f>
        <v>2927.7079601009882</v>
      </c>
      <c r="K17" s="32">
        <f>[1]LaiVayXD!G9</f>
        <v>0</v>
      </c>
    </row>
    <row r="18" spans="1:11" x14ac:dyDescent="0.15">
      <c r="A18" s="11" t="s">
        <v>3</v>
      </c>
      <c r="B18" s="15" t="s">
        <v>63</v>
      </c>
      <c r="C18" s="17"/>
      <c r="D18" s="17">
        <f>SUM(D19:D23)</f>
        <v>9048331.192208834</v>
      </c>
      <c r="E18" s="18">
        <f t="shared" si="0"/>
        <v>201.77778558625698</v>
      </c>
      <c r="F18" s="17"/>
      <c r="G18" s="39">
        <f>SUM(G19:G23)</f>
        <v>649542.1201485584</v>
      </c>
      <c r="H18" s="39">
        <f>SUM(H19:H23)</f>
        <v>2813213.5322343954</v>
      </c>
      <c r="I18" s="39">
        <f>SUM(I19:I23)</f>
        <v>2863595.0191053795</v>
      </c>
      <c r="J18" s="39">
        <f>SUM(J19:J23)</f>
        <v>1409511.9239063195</v>
      </c>
      <c r="K18" s="39">
        <f>SUM(K19:K23)</f>
        <v>1312468.5968141807</v>
      </c>
    </row>
    <row r="19" spans="1:11" x14ac:dyDescent="0.15">
      <c r="A19" s="23">
        <v>1</v>
      </c>
      <c r="B19" s="24" t="s">
        <v>64</v>
      </c>
      <c r="C19" s="30"/>
      <c r="D19" s="30">
        <f>[1]TMDT!D18</f>
        <v>500000</v>
      </c>
      <c r="E19" s="27">
        <f>D19*fx/10^9</f>
        <v>11.15</v>
      </c>
      <c r="F19" s="30"/>
      <c r="G19" s="40">
        <f>$D$19*10%</f>
        <v>50000</v>
      </c>
      <c r="H19" s="40">
        <f>$D$19*45%</f>
        <v>225000</v>
      </c>
      <c r="I19" s="40">
        <f>$D$19*35%</f>
        <v>175000</v>
      </c>
      <c r="J19" s="40">
        <f>$D$19*5%</f>
        <v>25000</v>
      </c>
      <c r="K19" s="40">
        <f>$D$19*5%</f>
        <v>25000</v>
      </c>
    </row>
    <row r="20" spans="1:11" x14ac:dyDescent="0.15">
      <c r="A20" s="23">
        <v>2</v>
      </c>
      <c r="B20" s="24" t="s">
        <v>65</v>
      </c>
      <c r="C20" s="30"/>
      <c r="D20" s="30">
        <f>[1]TMDT!D19</f>
        <v>3442511.2107623317</v>
      </c>
      <c r="E20" s="27">
        <f t="shared" si="0"/>
        <v>76.768000000000001</v>
      </c>
      <c r="F20" s="30"/>
      <c r="G20" s="40">
        <f>$D$20*10%</f>
        <v>344251.12107623322</v>
      </c>
      <c r="H20" s="40">
        <f>$D$20*45%</f>
        <v>1549130.0448430493</v>
      </c>
      <c r="I20" s="40">
        <f>$D$20*35%</f>
        <v>1204878.923766816</v>
      </c>
      <c r="J20" s="40">
        <f>$D$20*5%</f>
        <v>172125.56053811661</v>
      </c>
      <c r="K20" s="40">
        <f>$D$20*5%</f>
        <v>172125.56053811661</v>
      </c>
    </row>
    <row r="21" spans="1:11" x14ac:dyDescent="0.15">
      <c r="A21" s="23">
        <v>3</v>
      </c>
      <c r="B21" s="24" t="s">
        <v>66</v>
      </c>
      <c r="C21" s="30"/>
      <c r="D21" s="30">
        <f>[1]TMDT!D27</f>
        <v>960597.98190773535</v>
      </c>
      <c r="E21" s="27">
        <f t="shared" si="0"/>
        <v>21.421334996542498</v>
      </c>
      <c r="F21" s="30"/>
      <c r="G21" s="40">
        <f>$D$21*5%</f>
        <v>48029.899095386769</v>
      </c>
      <c r="H21" s="40">
        <f>$D$21*25%</f>
        <v>240149.49547693384</v>
      </c>
      <c r="I21" s="40">
        <f>$D$21*25%</f>
        <v>240149.49547693384</v>
      </c>
      <c r="J21" s="40">
        <f>$D$21*25%</f>
        <v>240149.49547693384</v>
      </c>
      <c r="K21" s="40">
        <f>$D$21*20%</f>
        <v>192119.59638154707</v>
      </c>
    </row>
    <row r="22" spans="1:11" x14ac:dyDescent="0.15">
      <c r="A22" s="23">
        <v>4</v>
      </c>
      <c r="B22" s="24" t="s">
        <v>55</v>
      </c>
      <c r="C22" s="30"/>
      <c r="D22" s="30">
        <f>[1]TMDT!O20</f>
        <v>1281372.6398684515</v>
      </c>
      <c r="E22" s="27">
        <f t="shared" si="0"/>
        <v>28.574609869066467</v>
      </c>
      <c r="F22" s="30"/>
      <c r="G22" s="40">
        <f>$D$22*5%</f>
        <v>64068.631993422576</v>
      </c>
      <c r="H22" s="40">
        <f>$D$22*40%</f>
        <v>512549.05594738061</v>
      </c>
      <c r="I22" s="40">
        <f>$D$22*30%</f>
        <v>384411.79196053545</v>
      </c>
      <c r="J22" s="40">
        <f>$D$22*20%</f>
        <v>256274.5279736903</v>
      </c>
      <c r="K22" s="40">
        <f>$D$22*5%</f>
        <v>64068.631993422576</v>
      </c>
    </row>
    <row r="23" spans="1:11" x14ac:dyDescent="0.15">
      <c r="A23" s="23">
        <v>5</v>
      </c>
      <c r="B23" s="24" t="s">
        <v>67</v>
      </c>
      <c r="C23" s="30"/>
      <c r="D23" s="30">
        <f>[1]TMDT!O30</f>
        <v>2863849.3596703149</v>
      </c>
      <c r="E23" s="27">
        <f t="shared" si="0"/>
        <v>63.863840720648028</v>
      </c>
      <c r="F23" s="30"/>
      <c r="G23" s="40">
        <f>$D$23*5%</f>
        <v>143192.46798351576</v>
      </c>
      <c r="H23" s="40">
        <f>$D$23*10%</f>
        <v>286384.93596703152</v>
      </c>
      <c r="I23" s="40">
        <f>$D$23*30%</f>
        <v>859154.80790109443</v>
      </c>
      <c r="J23" s="40">
        <f>$D$23*25%</f>
        <v>715962.33991757873</v>
      </c>
      <c r="K23" s="40">
        <f>$D$23*30%</f>
        <v>859154.80790109443</v>
      </c>
    </row>
    <row r="24" spans="1:11" s="43" customFormat="1" x14ac:dyDescent="0.15">
      <c r="A24" s="272" t="s">
        <v>30</v>
      </c>
      <c r="B24" s="272"/>
      <c r="C24" s="7"/>
      <c r="D24" s="41">
        <f>D18+D5</f>
        <v>43288331.117027082</v>
      </c>
      <c r="E24" s="42">
        <f t="shared" si="0"/>
        <v>965.32978390970402</v>
      </c>
      <c r="F24" s="7"/>
      <c r="G24" s="41">
        <f>G5+G18</f>
        <v>663429.09196881612</v>
      </c>
      <c r="H24" s="41">
        <f>H5+H18</f>
        <v>6226246.9395897537</v>
      </c>
      <c r="I24" s="41">
        <f>I5+I18</f>
        <v>12756442.015101004</v>
      </c>
      <c r="J24" s="41">
        <f>J5+J18</f>
        <v>12553445.689817902</v>
      </c>
      <c r="K24" s="41">
        <f>K5+K18</f>
        <v>11088767.380549606</v>
      </c>
    </row>
    <row r="25" spans="1:11" s="43" customFormat="1" ht="17" thickBot="1" x14ac:dyDescent="0.2">
      <c r="A25" s="44"/>
      <c r="B25" s="6"/>
      <c r="C25" s="45"/>
      <c r="D25" s="46"/>
      <c r="F25" s="45"/>
      <c r="G25" s="47">
        <f>G18/$D$18</f>
        <v>7.1785847174543505E-2</v>
      </c>
      <c r="H25" s="47">
        <f>H18/$D$18</f>
        <v>0.31090965532481218</v>
      </c>
      <c r="I25" s="47">
        <f>I18/$D$18</f>
        <v>0.31647769718808588</v>
      </c>
      <c r="J25" s="47">
        <f>J18/$D$18</f>
        <v>0.15577589877788683</v>
      </c>
      <c r="K25" s="47">
        <f>K18/$D$18</f>
        <v>0.14505090153467154</v>
      </c>
    </row>
    <row r="26" spans="1:11" ht="18" thickBot="1" x14ac:dyDescent="0.2">
      <c r="A26" s="48"/>
      <c r="B26" s="49"/>
      <c r="E26" s="50">
        <f>'[1]Phân bổ vốn'!C9</f>
        <v>9.0483311922088348</v>
      </c>
      <c r="G26" s="51">
        <f>$E$26*G25</f>
        <v>0.64954212014855839</v>
      </c>
      <c r="H26" s="52">
        <f>$E$26*H25</f>
        <v>2.8132135322343959</v>
      </c>
      <c r="I26" s="51">
        <f>$E$26*I25</f>
        <v>2.8635950191053796</v>
      </c>
      <c r="J26" s="51">
        <f>$E$26*J25</f>
        <v>1.4095119239063196</v>
      </c>
      <c r="K26" s="51">
        <f>$E$26*K25</f>
        <v>1.3124685968141809</v>
      </c>
    </row>
    <row r="27" spans="1:11" s="55" customFormat="1" ht="18" thickBot="1" x14ac:dyDescent="0.2">
      <c r="A27" s="53"/>
      <c r="B27" s="4"/>
      <c r="C27" s="2"/>
      <c r="D27" s="3"/>
      <c r="E27" s="54">
        <f>'[1]Phân bổ vốn'!E9</f>
        <v>5.3069755718799314</v>
      </c>
      <c r="F27" s="2"/>
      <c r="G27" s="52">
        <f>$E$27*G25</f>
        <v>0.38096573736200839</v>
      </c>
      <c r="H27" s="52">
        <f>$E$27*H25</f>
        <v>1.6499899458703875</v>
      </c>
      <c r="I27" s="52">
        <f>$E$27*I25</f>
        <v>1.6795394080219859</v>
      </c>
      <c r="J27" s="52">
        <f>$E$27*J25</f>
        <v>0.8266988895018863</v>
      </c>
      <c r="K27" s="52">
        <f>$E$27*K25</f>
        <v>0.76978159112366307</v>
      </c>
    </row>
    <row r="28" spans="1:11" ht="18" thickBot="1" x14ac:dyDescent="0.2">
      <c r="E28" s="56">
        <f>'[1]Phân bổ vốn'!G9</f>
        <v>3.7413556203289033</v>
      </c>
      <c r="G28" s="52">
        <f>$E$28*G25</f>
        <v>0.26857638278655005</v>
      </c>
      <c r="H28" s="52">
        <f>$E$28*H25</f>
        <v>1.1632235863640081</v>
      </c>
      <c r="I28" s="52">
        <f>$E$28*I25</f>
        <v>1.184055611083394</v>
      </c>
      <c r="J28" s="52">
        <f>$E$28*J25</f>
        <v>0.58281303440443322</v>
      </c>
      <c r="K28" s="52">
        <f>$E$28*K25</f>
        <v>0.54268700569051775</v>
      </c>
    </row>
    <row r="29" spans="1:11" ht="18" thickBot="1" x14ac:dyDescent="0.2">
      <c r="E29" s="57">
        <v>1.55</v>
      </c>
      <c r="G29" s="51">
        <f>$E$29*G25</f>
        <v>0.11126806312054244</v>
      </c>
      <c r="H29" s="51">
        <f>$E$29*H25</f>
        <v>0.4819099657534589</v>
      </c>
      <c r="I29" s="51">
        <f>$E$29*I25</f>
        <v>0.49054043064153313</v>
      </c>
      <c r="J29" s="51">
        <f>$E$29*J25</f>
        <v>0.24145264310572459</v>
      </c>
      <c r="K29" s="51">
        <f>$E$29*K25</f>
        <v>0.2248288973787409</v>
      </c>
    </row>
    <row r="30" spans="1:11" ht="18" thickBot="1" x14ac:dyDescent="0.2">
      <c r="E30" s="58">
        <v>1.28</v>
      </c>
      <c r="G30" s="52">
        <f>$E$30*G25</f>
        <v>9.1885884383415689E-2</v>
      </c>
      <c r="H30" s="52">
        <f>$E$30*H25</f>
        <v>0.39796435881575959</v>
      </c>
      <c r="I30" s="52">
        <f>$E$30*I25</f>
        <v>0.40509145240074995</v>
      </c>
      <c r="J30" s="52">
        <f>$E$30*J25</f>
        <v>0.19939315043569517</v>
      </c>
      <c r="K30" s="52">
        <f>$E$30*K25</f>
        <v>0.18566515396437958</v>
      </c>
    </row>
    <row r="31" spans="1:11" x14ac:dyDescent="0.15">
      <c r="G31" s="52">
        <f>SUM(G29:G30)</f>
        <v>0.20315394750395813</v>
      </c>
      <c r="H31" s="52">
        <f>SUM(H29:H30)</f>
        <v>0.87987432456921844</v>
      </c>
      <c r="I31" s="52">
        <f>SUM(I29:I30)</f>
        <v>0.89563188304228314</v>
      </c>
      <c r="J31" s="52">
        <f>SUM(J29:J30)</f>
        <v>0.44084579354141973</v>
      </c>
      <c r="K31" s="52">
        <f>SUM(K29:K30)</f>
        <v>0.41049405134312045</v>
      </c>
    </row>
    <row r="33" spans="5:5" x14ac:dyDescent="0.15">
      <c r="E33" s="4">
        <v>0.65</v>
      </c>
    </row>
    <row r="34" spans="5:5" x14ac:dyDescent="0.15">
      <c r="E34" s="4">
        <v>2.81</v>
      </c>
    </row>
    <row r="35" spans="5:5" x14ac:dyDescent="0.15">
      <c r="E35" s="4">
        <v>2.86</v>
      </c>
    </row>
    <row r="36" spans="5:5" x14ac:dyDescent="0.15">
      <c r="E36" s="4">
        <v>1.41</v>
      </c>
    </row>
    <row r="37" spans="5:5" x14ac:dyDescent="0.15">
      <c r="E37" s="4">
        <v>1.31</v>
      </c>
    </row>
  </sheetData>
  <mergeCells count="6">
    <mergeCell ref="G2:K2"/>
    <mergeCell ref="A24:B24"/>
    <mergeCell ref="A1:B1"/>
    <mergeCell ref="A2:A3"/>
    <mergeCell ref="B2:B3"/>
    <mergeCell ref="D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P46"/>
  <sheetViews>
    <sheetView tabSelected="1" workbookViewId="0">
      <pane ySplit="4" topLeftCell="A5" activePane="bottomLeft" state="frozen"/>
      <selection activeCell="C1" sqref="C1"/>
      <selection pane="bottomLeft" activeCell="C6" sqref="C6"/>
    </sheetView>
  </sheetViews>
  <sheetFormatPr baseColWidth="10" defaultColWidth="14.3984375" defaultRowHeight="16" x14ac:dyDescent="0.2"/>
  <cols>
    <col min="1" max="1" width="9" style="180" customWidth="1"/>
    <col min="2" max="2" width="15.3984375" style="180" bestFit="1" customWidth="1"/>
    <col min="3" max="4" width="15.59765625" style="216" customWidth="1"/>
    <col min="5" max="5" width="8.59765625" style="179" customWidth="1"/>
    <col min="6" max="8" width="15.59765625" style="179" customWidth="1"/>
    <col min="9" max="9" width="12.3984375" style="179" hidden="1" customWidth="1"/>
    <col min="10" max="11" width="11.3984375" style="179" hidden="1" customWidth="1"/>
    <col min="12" max="16384" width="14.3984375" style="179"/>
  </cols>
  <sheetData>
    <row r="1" spans="1:16" s="170" customFormat="1" ht="51.75" customHeight="1" x14ac:dyDescent="0.15">
      <c r="A1" s="276" t="s">
        <v>93</v>
      </c>
      <c r="B1" s="276"/>
      <c r="C1" s="276"/>
      <c r="D1" s="276"/>
      <c r="E1" s="276"/>
      <c r="F1" s="276"/>
      <c r="G1" s="276"/>
      <c r="H1" s="276"/>
      <c r="I1" s="222"/>
      <c r="J1" s="222"/>
      <c r="K1" s="222"/>
      <c r="L1" s="223"/>
      <c r="M1" s="223"/>
      <c r="N1" s="223"/>
      <c r="O1" s="223"/>
      <c r="P1" s="223"/>
    </row>
    <row r="2" spans="1:16" s="177" customFormat="1" ht="18" customHeight="1" x14ac:dyDescent="0.2">
      <c r="A2" s="176"/>
      <c r="B2" s="214"/>
      <c r="C2" s="220"/>
      <c r="D2" s="220"/>
      <c r="E2" s="218"/>
      <c r="F2" s="218"/>
      <c r="G2" s="218"/>
      <c r="H2" s="218" t="s">
        <v>88</v>
      </c>
      <c r="I2" s="218"/>
      <c r="J2" s="218"/>
      <c r="K2" s="218"/>
      <c r="L2" s="178"/>
      <c r="M2" s="178"/>
      <c r="N2" s="178"/>
      <c r="O2" s="178"/>
      <c r="P2" s="178"/>
    </row>
    <row r="3" spans="1:16" ht="18" customHeight="1" x14ac:dyDescent="0.2">
      <c r="A3" s="275" t="s">
        <v>87</v>
      </c>
      <c r="B3" s="275" t="s">
        <v>79</v>
      </c>
      <c r="C3" s="277" t="s">
        <v>80</v>
      </c>
      <c r="D3" s="277"/>
      <c r="E3" s="275" t="s">
        <v>77</v>
      </c>
      <c r="F3" s="275" t="s">
        <v>83</v>
      </c>
      <c r="G3" s="275"/>
      <c r="H3" s="275"/>
      <c r="I3" s="275" t="s">
        <v>86</v>
      </c>
      <c r="J3" s="275"/>
      <c r="K3" s="275"/>
    </row>
    <row r="4" spans="1:16" x14ac:dyDescent="0.2">
      <c r="A4" s="275"/>
      <c r="B4" s="275"/>
      <c r="C4" s="215" t="s">
        <v>81</v>
      </c>
      <c r="D4" s="215" t="s">
        <v>82</v>
      </c>
      <c r="E4" s="275"/>
      <c r="F4" s="186" t="s">
        <v>81</v>
      </c>
      <c r="G4" s="186" t="s">
        <v>84</v>
      </c>
      <c r="H4" s="186" t="s">
        <v>85</v>
      </c>
      <c r="I4" s="186" t="s">
        <v>81</v>
      </c>
      <c r="J4" s="186" t="s">
        <v>84</v>
      </c>
      <c r="K4" s="186" t="s">
        <v>85</v>
      </c>
      <c r="L4" s="181"/>
    </row>
    <row r="5" spans="1:16" x14ac:dyDescent="0.2">
      <c r="A5" s="195">
        <v>0</v>
      </c>
      <c r="B5" s="261">
        <v>44835</v>
      </c>
      <c r="C5" s="197">
        <v>24250000</v>
      </c>
      <c r="D5" s="197">
        <f>C5*0.2</f>
        <v>4850000</v>
      </c>
      <c r="E5" s="191">
        <v>0.02</v>
      </c>
      <c r="F5" s="191"/>
      <c r="G5" s="191"/>
      <c r="H5" s="191"/>
      <c r="I5" s="191"/>
      <c r="J5" s="191"/>
      <c r="K5" s="191"/>
    </row>
    <row r="6" spans="1:16" x14ac:dyDescent="0.2">
      <c r="A6" s="195">
        <v>1</v>
      </c>
      <c r="B6" s="261">
        <f>DATE(YEAR(B5),MONTH(B5)+6,DAY(B5))</f>
        <v>45017</v>
      </c>
      <c r="C6" s="219">
        <f>C5-J6</f>
        <v>23643750</v>
      </c>
      <c r="D6" s="219">
        <f t="shared" ref="D6:D45" si="0">D5-G6</f>
        <v>4728750</v>
      </c>
      <c r="E6" s="191">
        <f>E5</f>
        <v>0.02</v>
      </c>
      <c r="F6" s="221">
        <f>G6+H6</f>
        <v>169617.12328767125</v>
      </c>
      <c r="G6" s="219">
        <f>D5/40</f>
        <v>121250</v>
      </c>
      <c r="H6" s="198">
        <f>(B6-B5)*D5*E5/365</f>
        <v>48367.123287671231</v>
      </c>
      <c r="I6" s="221">
        <f t="shared" ref="I6:I44" si="1">J6+K6</f>
        <v>848085.61643835623</v>
      </c>
      <c r="J6" s="219">
        <f>C5/40</f>
        <v>606250</v>
      </c>
      <c r="K6" s="198">
        <f t="shared" ref="K6:K45" si="2">C5*E5*(B6-B5)/365</f>
        <v>241835.61643835617</v>
      </c>
    </row>
    <row r="7" spans="1:16" x14ac:dyDescent="0.2">
      <c r="A7" s="195">
        <v>2</v>
      </c>
      <c r="B7" s="261">
        <f t="shared" ref="B7:B45" si="3">DATE(YEAR(B6),MONTH(B6)+6,DAY(B6))</f>
        <v>45200</v>
      </c>
      <c r="C7" s="219">
        <f t="shared" ref="C7:C45" si="4">C6-J7</f>
        <v>23037500</v>
      </c>
      <c r="D7" s="219">
        <f t="shared" si="0"/>
        <v>4607500</v>
      </c>
      <c r="E7" s="191">
        <f t="shared" ref="E7:E45" si="5">E6</f>
        <v>0.02</v>
      </c>
      <c r="F7" s="221">
        <f t="shared" ref="F7:F45" si="6">G7+H7</f>
        <v>168667.05479452055</v>
      </c>
      <c r="G7" s="219">
        <f t="shared" ref="G7:G42" si="7">G6</f>
        <v>121250</v>
      </c>
      <c r="H7" s="198">
        <f t="shared" ref="H7:H45" si="8">(B7-B6)*D6*E6/365</f>
        <v>47417.054794520547</v>
      </c>
      <c r="I7" s="221">
        <f t="shared" si="1"/>
        <v>843335.27397260279</v>
      </c>
      <c r="J7" s="219">
        <f t="shared" ref="J7:J42" si="9">J6</f>
        <v>606250</v>
      </c>
      <c r="K7" s="198">
        <f t="shared" si="2"/>
        <v>237085.27397260274</v>
      </c>
    </row>
    <row r="8" spans="1:16" x14ac:dyDescent="0.2">
      <c r="A8" s="195">
        <v>3</v>
      </c>
      <c r="B8" s="261">
        <f t="shared" si="3"/>
        <v>45383</v>
      </c>
      <c r="C8" s="219">
        <f t="shared" si="4"/>
        <v>22431250</v>
      </c>
      <c r="D8" s="219">
        <f t="shared" si="0"/>
        <v>4486250</v>
      </c>
      <c r="E8" s="191">
        <f t="shared" si="5"/>
        <v>0.02</v>
      </c>
      <c r="F8" s="221">
        <f t="shared" si="6"/>
        <v>167451.23287671234</v>
      </c>
      <c r="G8" s="219">
        <f t="shared" si="7"/>
        <v>121250</v>
      </c>
      <c r="H8" s="198">
        <f t="shared" si="8"/>
        <v>46201.232876712325</v>
      </c>
      <c r="I8" s="221">
        <f t="shared" si="1"/>
        <v>837256.16438356158</v>
      </c>
      <c r="J8" s="219">
        <f t="shared" si="9"/>
        <v>606250</v>
      </c>
      <c r="K8" s="198">
        <f t="shared" si="2"/>
        <v>231006.16438356164</v>
      </c>
    </row>
    <row r="9" spans="1:16" x14ac:dyDescent="0.2">
      <c r="A9" s="195">
        <v>4</v>
      </c>
      <c r="B9" s="261">
        <f t="shared" si="3"/>
        <v>45566</v>
      </c>
      <c r="C9" s="219">
        <f t="shared" si="4"/>
        <v>21825000</v>
      </c>
      <c r="D9" s="219">
        <f t="shared" si="0"/>
        <v>4365000</v>
      </c>
      <c r="E9" s="191">
        <f t="shared" si="5"/>
        <v>0.02</v>
      </c>
      <c r="F9" s="221">
        <f t="shared" si="6"/>
        <v>166235.4109589041</v>
      </c>
      <c r="G9" s="219">
        <f t="shared" si="7"/>
        <v>121250</v>
      </c>
      <c r="H9" s="198">
        <f t="shared" si="8"/>
        <v>44985.410958904111</v>
      </c>
      <c r="I9" s="221">
        <f t="shared" si="1"/>
        <v>831177.05479452061</v>
      </c>
      <c r="J9" s="219">
        <f t="shared" si="9"/>
        <v>606250</v>
      </c>
      <c r="K9" s="198">
        <f t="shared" si="2"/>
        <v>224927.05479452055</v>
      </c>
    </row>
    <row r="10" spans="1:16" x14ac:dyDescent="0.2">
      <c r="A10" s="195">
        <v>5</v>
      </c>
      <c r="B10" s="261">
        <f t="shared" si="3"/>
        <v>45748</v>
      </c>
      <c r="C10" s="219">
        <f t="shared" si="4"/>
        <v>21218750</v>
      </c>
      <c r="D10" s="219">
        <f t="shared" si="0"/>
        <v>4243750</v>
      </c>
      <c r="E10" s="191">
        <f t="shared" si="5"/>
        <v>0.02</v>
      </c>
      <c r="F10" s="221">
        <f t="shared" si="6"/>
        <v>164780.4109589041</v>
      </c>
      <c r="G10" s="219">
        <f t="shared" si="7"/>
        <v>121250</v>
      </c>
      <c r="H10" s="198">
        <f t="shared" si="8"/>
        <v>43530.410958904111</v>
      </c>
      <c r="I10" s="221">
        <f t="shared" si="1"/>
        <v>823902.05479452061</v>
      </c>
      <c r="J10" s="219">
        <f t="shared" si="9"/>
        <v>606250</v>
      </c>
      <c r="K10" s="198">
        <f t="shared" si="2"/>
        <v>217652.05479452055</v>
      </c>
    </row>
    <row r="11" spans="1:16" x14ac:dyDescent="0.2">
      <c r="A11" s="195">
        <v>6</v>
      </c>
      <c r="B11" s="261">
        <f t="shared" si="3"/>
        <v>45931</v>
      </c>
      <c r="C11" s="219">
        <f t="shared" si="4"/>
        <v>20612500</v>
      </c>
      <c r="D11" s="219">
        <f t="shared" si="0"/>
        <v>4122500</v>
      </c>
      <c r="E11" s="191">
        <f t="shared" si="5"/>
        <v>0.02</v>
      </c>
      <c r="F11" s="221">
        <f t="shared" si="6"/>
        <v>163803.76712328766</v>
      </c>
      <c r="G11" s="219">
        <f t="shared" si="7"/>
        <v>121250</v>
      </c>
      <c r="H11" s="198">
        <f t="shared" si="8"/>
        <v>42553.767123287675</v>
      </c>
      <c r="I11" s="221">
        <f t="shared" si="1"/>
        <v>819018.83561643842</v>
      </c>
      <c r="J11" s="219">
        <f t="shared" si="9"/>
        <v>606250</v>
      </c>
      <c r="K11" s="198">
        <f t="shared" si="2"/>
        <v>212768.83561643836</v>
      </c>
    </row>
    <row r="12" spans="1:16" x14ac:dyDescent="0.2">
      <c r="A12" s="195">
        <v>7</v>
      </c>
      <c r="B12" s="261">
        <f t="shared" si="3"/>
        <v>46113</v>
      </c>
      <c r="C12" s="219">
        <f t="shared" si="4"/>
        <v>20006250</v>
      </c>
      <c r="D12" s="219">
        <f t="shared" si="0"/>
        <v>4001250</v>
      </c>
      <c r="E12" s="191">
        <f t="shared" si="5"/>
        <v>0.02</v>
      </c>
      <c r="F12" s="221">
        <f t="shared" si="6"/>
        <v>162362.05479452055</v>
      </c>
      <c r="G12" s="219">
        <f t="shared" si="7"/>
        <v>121250</v>
      </c>
      <c r="H12" s="198">
        <f t="shared" si="8"/>
        <v>41112.054794520547</v>
      </c>
      <c r="I12" s="221">
        <f t="shared" si="1"/>
        <v>811810.27397260279</v>
      </c>
      <c r="J12" s="219">
        <f t="shared" si="9"/>
        <v>606250</v>
      </c>
      <c r="K12" s="198">
        <f t="shared" si="2"/>
        <v>205560.27397260274</v>
      </c>
    </row>
    <row r="13" spans="1:16" x14ac:dyDescent="0.2">
      <c r="A13" s="195">
        <v>8</v>
      </c>
      <c r="B13" s="261">
        <f t="shared" si="3"/>
        <v>46296</v>
      </c>
      <c r="C13" s="219">
        <f t="shared" si="4"/>
        <v>19400000</v>
      </c>
      <c r="D13" s="219">
        <f t="shared" si="0"/>
        <v>3880000</v>
      </c>
      <c r="E13" s="191">
        <f t="shared" si="5"/>
        <v>0.02</v>
      </c>
      <c r="F13" s="221">
        <f t="shared" si="6"/>
        <v>161372.12328767125</v>
      </c>
      <c r="G13" s="219">
        <f t="shared" si="7"/>
        <v>121250</v>
      </c>
      <c r="H13" s="198">
        <f t="shared" si="8"/>
        <v>40122.123287671231</v>
      </c>
      <c r="I13" s="221">
        <f t="shared" si="1"/>
        <v>806860.61643835623</v>
      </c>
      <c r="J13" s="219">
        <f t="shared" si="9"/>
        <v>606250</v>
      </c>
      <c r="K13" s="198">
        <f t="shared" si="2"/>
        <v>200610.61643835617</v>
      </c>
    </row>
    <row r="14" spans="1:16" x14ac:dyDescent="0.2">
      <c r="A14" s="195">
        <v>9</v>
      </c>
      <c r="B14" s="261">
        <f t="shared" si="3"/>
        <v>46478</v>
      </c>
      <c r="C14" s="219">
        <f t="shared" si="4"/>
        <v>18793750</v>
      </c>
      <c r="D14" s="219">
        <f t="shared" si="0"/>
        <v>3758750</v>
      </c>
      <c r="E14" s="191">
        <f t="shared" si="5"/>
        <v>0.02</v>
      </c>
      <c r="F14" s="221">
        <f t="shared" si="6"/>
        <v>159943.69863013699</v>
      </c>
      <c r="G14" s="219">
        <f t="shared" si="7"/>
        <v>121250</v>
      </c>
      <c r="H14" s="198">
        <f t="shared" si="8"/>
        <v>38693.698630136983</v>
      </c>
      <c r="I14" s="221">
        <f t="shared" si="1"/>
        <v>799718.49315068498</v>
      </c>
      <c r="J14" s="219">
        <f t="shared" si="9"/>
        <v>606250</v>
      </c>
      <c r="K14" s="198">
        <f t="shared" si="2"/>
        <v>193468.49315068492</v>
      </c>
    </row>
    <row r="15" spans="1:16" x14ac:dyDescent="0.2">
      <c r="A15" s="195">
        <v>10</v>
      </c>
      <c r="B15" s="261">
        <f t="shared" si="3"/>
        <v>46661</v>
      </c>
      <c r="C15" s="219">
        <f t="shared" si="4"/>
        <v>18187500</v>
      </c>
      <c r="D15" s="219">
        <f t="shared" si="0"/>
        <v>3637500</v>
      </c>
      <c r="E15" s="191">
        <f t="shared" si="5"/>
        <v>0.02</v>
      </c>
      <c r="F15" s="221">
        <f t="shared" si="6"/>
        <v>158940.4794520548</v>
      </c>
      <c r="G15" s="219">
        <f t="shared" si="7"/>
        <v>121250</v>
      </c>
      <c r="H15" s="198">
        <f t="shared" si="8"/>
        <v>37690.479452054795</v>
      </c>
      <c r="I15" s="221">
        <f t="shared" si="1"/>
        <v>794702.39726027404</v>
      </c>
      <c r="J15" s="219">
        <f t="shared" si="9"/>
        <v>606250</v>
      </c>
      <c r="K15" s="198">
        <f t="shared" si="2"/>
        <v>188452.39726027398</v>
      </c>
    </row>
    <row r="16" spans="1:16" x14ac:dyDescent="0.2">
      <c r="A16" s="195">
        <v>11</v>
      </c>
      <c r="B16" s="261">
        <f t="shared" si="3"/>
        <v>46844</v>
      </c>
      <c r="C16" s="219">
        <f t="shared" si="4"/>
        <v>17581250</v>
      </c>
      <c r="D16" s="219">
        <f t="shared" si="0"/>
        <v>3516250</v>
      </c>
      <c r="E16" s="191">
        <f t="shared" si="5"/>
        <v>0.02</v>
      </c>
      <c r="F16" s="221">
        <f t="shared" si="6"/>
        <v>157724.65753424657</v>
      </c>
      <c r="G16" s="219">
        <f t="shared" si="7"/>
        <v>121250</v>
      </c>
      <c r="H16" s="198">
        <f t="shared" si="8"/>
        <v>36474.657534246573</v>
      </c>
      <c r="I16" s="221">
        <f t="shared" si="1"/>
        <v>788623.28767123283</v>
      </c>
      <c r="J16" s="219">
        <f t="shared" si="9"/>
        <v>606250</v>
      </c>
      <c r="K16" s="198">
        <f t="shared" si="2"/>
        <v>182373.28767123289</v>
      </c>
    </row>
    <row r="17" spans="1:11" x14ac:dyDescent="0.2">
      <c r="A17" s="195">
        <v>12</v>
      </c>
      <c r="B17" s="261">
        <f t="shared" si="3"/>
        <v>47027</v>
      </c>
      <c r="C17" s="219">
        <f t="shared" si="4"/>
        <v>16975000</v>
      </c>
      <c r="D17" s="219">
        <f t="shared" si="0"/>
        <v>3395000</v>
      </c>
      <c r="E17" s="191">
        <f t="shared" si="5"/>
        <v>0.02</v>
      </c>
      <c r="F17" s="221">
        <f t="shared" si="6"/>
        <v>156508.83561643836</v>
      </c>
      <c r="G17" s="219">
        <f t="shared" si="7"/>
        <v>121250</v>
      </c>
      <c r="H17" s="198">
        <f t="shared" si="8"/>
        <v>35258.835616438359</v>
      </c>
      <c r="I17" s="221">
        <f t="shared" si="1"/>
        <v>782544.17808219185</v>
      </c>
      <c r="J17" s="219">
        <f t="shared" si="9"/>
        <v>606250</v>
      </c>
      <c r="K17" s="198">
        <f t="shared" si="2"/>
        <v>176294.17808219179</v>
      </c>
    </row>
    <row r="18" spans="1:11" x14ac:dyDescent="0.2">
      <c r="A18" s="195">
        <v>13</v>
      </c>
      <c r="B18" s="261">
        <f t="shared" si="3"/>
        <v>47209</v>
      </c>
      <c r="C18" s="219">
        <f t="shared" si="4"/>
        <v>16368750</v>
      </c>
      <c r="D18" s="219">
        <f t="shared" si="0"/>
        <v>3273750</v>
      </c>
      <c r="E18" s="191">
        <f t="shared" si="5"/>
        <v>0.02</v>
      </c>
      <c r="F18" s="221">
        <f t="shared" si="6"/>
        <v>155106.98630136985</v>
      </c>
      <c r="G18" s="219">
        <f t="shared" si="7"/>
        <v>121250</v>
      </c>
      <c r="H18" s="198">
        <f t="shared" si="8"/>
        <v>33856.986301369863</v>
      </c>
      <c r="I18" s="221">
        <f t="shared" si="1"/>
        <v>775534.93150684936</v>
      </c>
      <c r="J18" s="219">
        <f t="shared" si="9"/>
        <v>606250</v>
      </c>
      <c r="K18" s="198">
        <f t="shared" si="2"/>
        <v>169284.9315068493</v>
      </c>
    </row>
    <row r="19" spans="1:11" x14ac:dyDescent="0.2">
      <c r="A19" s="195">
        <v>14</v>
      </c>
      <c r="B19" s="261">
        <f t="shared" si="3"/>
        <v>47392</v>
      </c>
      <c r="C19" s="219">
        <f t="shared" si="4"/>
        <v>15762500</v>
      </c>
      <c r="D19" s="219">
        <f t="shared" si="0"/>
        <v>3152500</v>
      </c>
      <c r="E19" s="191">
        <f t="shared" si="5"/>
        <v>0.02</v>
      </c>
      <c r="F19" s="221">
        <f t="shared" si="6"/>
        <v>154077.19178082192</v>
      </c>
      <c r="G19" s="219">
        <f t="shared" si="7"/>
        <v>121250</v>
      </c>
      <c r="H19" s="198">
        <f t="shared" si="8"/>
        <v>32827.191780821915</v>
      </c>
      <c r="I19" s="221">
        <f t="shared" si="1"/>
        <v>770385.95890410955</v>
      </c>
      <c r="J19" s="219">
        <f t="shared" si="9"/>
        <v>606250</v>
      </c>
      <c r="K19" s="198">
        <f t="shared" si="2"/>
        <v>164135.95890410958</v>
      </c>
    </row>
    <row r="20" spans="1:11" x14ac:dyDescent="0.2">
      <c r="A20" s="195">
        <v>15</v>
      </c>
      <c r="B20" s="261">
        <f t="shared" si="3"/>
        <v>47574</v>
      </c>
      <c r="C20" s="219">
        <f t="shared" si="4"/>
        <v>15156250</v>
      </c>
      <c r="D20" s="219">
        <f t="shared" si="0"/>
        <v>3031250</v>
      </c>
      <c r="E20" s="191">
        <f t="shared" si="5"/>
        <v>0.02</v>
      </c>
      <c r="F20" s="221">
        <f t="shared" si="6"/>
        <v>152688.63013698629</v>
      </c>
      <c r="G20" s="219">
        <f t="shared" si="7"/>
        <v>121250</v>
      </c>
      <c r="H20" s="198">
        <f t="shared" si="8"/>
        <v>31438.630136986303</v>
      </c>
      <c r="I20" s="221">
        <f t="shared" si="1"/>
        <v>763443.15068493155</v>
      </c>
      <c r="J20" s="219">
        <f t="shared" si="9"/>
        <v>606250</v>
      </c>
      <c r="K20" s="198">
        <f t="shared" si="2"/>
        <v>157193.15068493152</v>
      </c>
    </row>
    <row r="21" spans="1:11" x14ac:dyDescent="0.2">
      <c r="A21" s="195">
        <v>16</v>
      </c>
      <c r="B21" s="261">
        <f t="shared" si="3"/>
        <v>47757</v>
      </c>
      <c r="C21" s="219">
        <f t="shared" si="4"/>
        <v>14550000</v>
      </c>
      <c r="D21" s="219">
        <f t="shared" si="0"/>
        <v>2910000</v>
      </c>
      <c r="E21" s="191">
        <f t="shared" si="5"/>
        <v>0.02</v>
      </c>
      <c r="F21" s="221">
        <f t="shared" si="6"/>
        <v>151645.54794520547</v>
      </c>
      <c r="G21" s="219">
        <f t="shared" si="7"/>
        <v>121250</v>
      </c>
      <c r="H21" s="198">
        <f t="shared" si="8"/>
        <v>30395.547945205479</v>
      </c>
      <c r="I21" s="221">
        <f t="shared" si="1"/>
        <v>758227.73972602736</v>
      </c>
      <c r="J21" s="219">
        <f t="shared" si="9"/>
        <v>606250</v>
      </c>
      <c r="K21" s="198">
        <f t="shared" si="2"/>
        <v>151977.73972602739</v>
      </c>
    </row>
    <row r="22" spans="1:11" x14ac:dyDescent="0.2">
      <c r="A22" s="195">
        <v>17</v>
      </c>
      <c r="B22" s="261">
        <f t="shared" si="3"/>
        <v>47939</v>
      </c>
      <c r="C22" s="219">
        <f t="shared" si="4"/>
        <v>13943750</v>
      </c>
      <c r="D22" s="219">
        <f t="shared" si="0"/>
        <v>2788750</v>
      </c>
      <c r="E22" s="191">
        <f t="shared" si="5"/>
        <v>0.02</v>
      </c>
      <c r="F22" s="221">
        <f t="shared" si="6"/>
        <v>150270.27397260274</v>
      </c>
      <c r="G22" s="219">
        <f t="shared" si="7"/>
        <v>121250</v>
      </c>
      <c r="H22" s="198">
        <f t="shared" si="8"/>
        <v>29020.273972602739</v>
      </c>
      <c r="I22" s="221">
        <f t="shared" si="1"/>
        <v>751351.36986301374</v>
      </c>
      <c r="J22" s="219">
        <f t="shared" si="9"/>
        <v>606250</v>
      </c>
      <c r="K22" s="198">
        <f t="shared" si="2"/>
        <v>145101.36986301371</v>
      </c>
    </row>
    <row r="23" spans="1:11" x14ac:dyDescent="0.2">
      <c r="A23" s="195">
        <v>18</v>
      </c>
      <c r="B23" s="261">
        <f t="shared" si="3"/>
        <v>48122</v>
      </c>
      <c r="C23" s="219">
        <f t="shared" si="4"/>
        <v>13337500</v>
      </c>
      <c r="D23" s="219">
        <f t="shared" si="0"/>
        <v>2667500</v>
      </c>
      <c r="E23" s="191">
        <f t="shared" si="5"/>
        <v>0.02</v>
      </c>
      <c r="F23" s="221">
        <f t="shared" si="6"/>
        <v>149213.90410958906</v>
      </c>
      <c r="G23" s="219">
        <f t="shared" si="7"/>
        <v>121250</v>
      </c>
      <c r="H23" s="198">
        <f t="shared" si="8"/>
        <v>27963.904109589042</v>
      </c>
      <c r="I23" s="221">
        <f t="shared" si="1"/>
        <v>746069.52054794517</v>
      </c>
      <c r="J23" s="219">
        <f t="shared" si="9"/>
        <v>606250</v>
      </c>
      <c r="K23" s="198">
        <f t="shared" si="2"/>
        <v>139819.5205479452</v>
      </c>
    </row>
    <row r="24" spans="1:11" x14ac:dyDescent="0.2">
      <c r="A24" s="195">
        <v>19</v>
      </c>
      <c r="B24" s="261">
        <f t="shared" si="3"/>
        <v>48305</v>
      </c>
      <c r="C24" s="219">
        <f t="shared" si="4"/>
        <v>12731250</v>
      </c>
      <c r="D24" s="219">
        <f t="shared" si="0"/>
        <v>2546250</v>
      </c>
      <c r="E24" s="191">
        <f t="shared" si="5"/>
        <v>0.02</v>
      </c>
      <c r="F24" s="221">
        <f t="shared" si="6"/>
        <v>147998.08219178082</v>
      </c>
      <c r="G24" s="219">
        <f t="shared" si="7"/>
        <v>121250</v>
      </c>
      <c r="H24" s="198">
        <f t="shared" si="8"/>
        <v>26748.082191780821</v>
      </c>
      <c r="I24" s="221">
        <f t="shared" si="1"/>
        <v>739990.41095890407</v>
      </c>
      <c r="J24" s="219">
        <f t="shared" si="9"/>
        <v>606250</v>
      </c>
      <c r="K24" s="198">
        <f t="shared" si="2"/>
        <v>133740.4109589041</v>
      </c>
    </row>
    <row r="25" spans="1:11" x14ac:dyDescent="0.2">
      <c r="A25" s="195">
        <v>20</v>
      </c>
      <c r="B25" s="261">
        <f t="shared" si="3"/>
        <v>48488</v>
      </c>
      <c r="C25" s="219">
        <f t="shared" si="4"/>
        <v>12125000</v>
      </c>
      <c r="D25" s="219">
        <f t="shared" si="0"/>
        <v>2425000</v>
      </c>
      <c r="E25" s="191">
        <f t="shared" si="5"/>
        <v>0.02</v>
      </c>
      <c r="F25" s="221">
        <f t="shared" si="6"/>
        <v>146782.26027397261</v>
      </c>
      <c r="G25" s="219">
        <f t="shared" si="7"/>
        <v>121250</v>
      </c>
      <c r="H25" s="198">
        <f t="shared" si="8"/>
        <v>25532.260273972603</v>
      </c>
      <c r="I25" s="221">
        <f t="shared" si="1"/>
        <v>733911.30136986298</v>
      </c>
      <c r="J25" s="219">
        <f t="shared" si="9"/>
        <v>606250</v>
      </c>
      <c r="K25" s="198">
        <f t="shared" si="2"/>
        <v>127661.30136986301</v>
      </c>
    </row>
    <row r="26" spans="1:11" x14ac:dyDescent="0.2">
      <c r="A26" s="195">
        <v>21</v>
      </c>
      <c r="B26" s="261">
        <f t="shared" si="3"/>
        <v>48670</v>
      </c>
      <c r="C26" s="219">
        <f t="shared" si="4"/>
        <v>11518750</v>
      </c>
      <c r="D26" s="219">
        <f t="shared" si="0"/>
        <v>2303750</v>
      </c>
      <c r="E26" s="191">
        <f t="shared" si="5"/>
        <v>0.02</v>
      </c>
      <c r="F26" s="221">
        <f t="shared" si="6"/>
        <v>145433.56164383562</v>
      </c>
      <c r="G26" s="219">
        <f t="shared" si="7"/>
        <v>121250</v>
      </c>
      <c r="H26" s="198">
        <f t="shared" si="8"/>
        <v>24183.561643835616</v>
      </c>
      <c r="I26" s="221">
        <f t="shared" si="1"/>
        <v>727167.80821917811</v>
      </c>
      <c r="J26" s="219">
        <f t="shared" si="9"/>
        <v>606250</v>
      </c>
      <c r="K26" s="198">
        <f t="shared" si="2"/>
        <v>120917.80821917808</v>
      </c>
    </row>
    <row r="27" spans="1:11" x14ac:dyDescent="0.2">
      <c r="A27" s="195">
        <v>22</v>
      </c>
      <c r="B27" s="261">
        <f t="shared" si="3"/>
        <v>48853</v>
      </c>
      <c r="C27" s="219">
        <f t="shared" si="4"/>
        <v>10912500</v>
      </c>
      <c r="D27" s="219">
        <f t="shared" si="0"/>
        <v>2182500</v>
      </c>
      <c r="E27" s="191">
        <f t="shared" si="5"/>
        <v>0.02</v>
      </c>
      <c r="F27" s="221">
        <f t="shared" si="6"/>
        <v>144350.61643835617</v>
      </c>
      <c r="G27" s="219">
        <f t="shared" si="7"/>
        <v>121250</v>
      </c>
      <c r="H27" s="198">
        <f t="shared" si="8"/>
        <v>23100.616438356163</v>
      </c>
      <c r="I27" s="221">
        <f t="shared" si="1"/>
        <v>721753.08219178079</v>
      </c>
      <c r="J27" s="219">
        <f t="shared" si="9"/>
        <v>606250</v>
      </c>
      <c r="K27" s="198">
        <f t="shared" si="2"/>
        <v>115503.08219178082</v>
      </c>
    </row>
    <row r="28" spans="1:11" x14ac:dyDescent="0.2">
      <c r="A28" s="195">
        <v>23</v>
      </c>
      <c r="B28" s="261">
        <f t="shared" si="3"/>
        <v>49035</v>
      </c>
      <c r="C28" s="219">
        <f t="shared" si="4"/>
        <v>10306250</v>
      </c>
      <c r="D28" s="219">
        <f t="shared" si="0"/>
        <v>2061250</v>
      </c>
      <c r="E28" s="191">
        <f t="shared" si="5"/>
        <v>0.02</v>
      </c>
      <c r="F28" s="221">
        <f t="shared" si="6"/>
        <v>143015.20547945207</v>
      </c>
      <c r="G28" s="219">
        <f t="shared" si="7"/>
        <v>121250</v>
      </c>
      <c r="H28" s="198">
        <f t="shared" si="8"/>
        <v>21765.205479452055</v>
      </c>
      <c r="I28" s="221">
        <f t="shared" si="1"/>
        <v>715076.0273972603</v>
      </c>
      <c r="J28" s="219">
        <f t="shared" si="9"/>
        <v>606250</v>
      </c>
      <c r="K28" s="198">
        <f t="shared" si="2"/>
        <v>108826.02739726027</v>
      </c>
    </row>
    <row r="29" spans="1:11" x14ac:dyDescent="0.2">
      <c r="A29" s="195">
        <v>24</v>
      </c>
      <c r="B29" s="261">
        <f t="shared" si="3"/>
        <v>49218</v>
      </c>
      <c r="C29" s="219">
        <f t="shared" si="4"/>
        <v>9700000</v>
      </c>
      <c r="D29" s="219">
        <f t="shared" si="0"/>
        <v>1940000</v>
      </c>
      <c r="E29" s="191">
        <f t="shared" si="5"/>
        <v>0.02</v>
      </c>
      <c r="F29" s="221">
        <f t="shared" si="6"/>
        <v>141918.97260273973</v>
      </c>
      <c r="G29" s="219">
        <f t="shared" si="7"/>
        <v>121250</v>
      </c>
      <c r="H29" s="198">
        <f t="shared" si="8"/>
        <v>20668.972602739726</v>
      </c>
      <c r="I29" s="221">
        <f t="shared" si="1"/>
        <v>709594.8630136986</v>
      </c>
      <c r="J29" s="219">
        <f t="shared" si="9"/>
        <v>606250</v>
      </c>
      <c r="K29" s="198">
        <f t="shared" si="2"/>
        <v>103344.86301369863</v>
      </c>
    </row>
    <row r="30" spans="1:11" x14ac:dyDescent="0.2">
      <c r="A30" s="195">
        <v>25</v>
      </c>
      <c r="B30" s="261">
        <f t="shared" si="3"/>
        <v>49400</v>
      </c>
      <c r="C30" s="219">
        <f t="shared" si="4"/>
        <v>9093750</v>
      </c>
      <c r="D30" s="219">
        <f t="shared" si="0"/>
        <v>1818750</v>
      </c>
      <c r="E30" s="191">
        <f t="shared" si="5"/>
        <v>0.02</v>
      </c>
      <c r="F30" s="221">
        <f t="shared" si="6"/>
        <v>140596.84931506848</v>
      </c>
      <c r="G30" s="219">
        <f t="shared" si="7"/>
        <v>121250</v>
      </c>
      <c r="H30" s="198">
        <f t="shared" si="8"/>
        <v>19346.849315068492</v>
      </c>
      <c r="I30" s="221">
        <f t="shared" si="1"/>
        <v>702984.24657534249</v>
      </c>
      <c r="J30" s="219">
        <f t="shared" si="9"/>
        <v>606250</v>
      </c>
      <c r="K30" s="198">
        <f t="shared" si="2"/>
        <v>96734.246575342462</v>
      </c>
    </row>
    <row r="31" spans="1:11" x14ac:dyDescent="0.2">
      <c r="A31" s="195">
        <v>26</v>
      </c>
      <c r="B31" s="261">
        <f t="shared" si="3"/>
        <v>49583</v>
      </c>
      <c r="C31" s="219">
        <f t="shared" si="4"/>
        <v>8487500</v>
      </c>
      <c r="D31" s="219">
        <f t="shared" si="0"/>
        <v>1697500</v>
      </c>
      <c r="E31" s="191">
        <f t="shared" si="5"/>
        <v>0.02</v>
      </c>
      <c r="F31" s="221">
        <f t="shared" si="6"/>
        <v>139487.32876712328</v>
      </c>
      <c r="G31" s="219">
        <f t="shared" si="7"/>
        <v>121250</v>
      </c>
      <c r="H31" s="198">
        <f t="shared" si="8"/>
        <v>18237.328767123287</v>
      </c>
      <c r="I31" s="221">
        <f t="shared" si="1"/>
        <v>697436.64383561641</v>
      </c>
      <c r="J31" s="219">
        <f t="shared" si="9"/>
        <v>606250</v>
      </c>
      <c r="K31" s="198">
        <f t="shared" si="2"/>
        <v>91186.643835616444</v>
      </c>
    </row>
    <row r="32" spans="1:11" x14ac:dyDescent="0.2">
      <c r="A32" s="195">
        <v>27</v>
      </c>
      <c r="B32" s="261">
        <f t="shared" si="3"/>
        <v>49766</v>
      </c>
      <c r="C32" s="219">
        <f t="shared" si="4"/>
        <v>7881250</v>
      </c>
      <c r="D32" s="219">
        <f t="shared" si="0"/>
        <v>1576250</v>
      </c>
      <c r="E32" s="191">
        <f t="shared" si="5"/>
        <v>0.02</v>
      </c>
      <c r="F32" s="221">
        <f t="shared" si="6"/>
        <v>138271.50684931508</v>
      </c>
      <c r="G32" s="219">
        <f t="shared" si="7"/>
        <v>121250</v>
      </c>
      <c r="H32" s="198">
        <f t="shared" si="8"/>
        <v>17021.506849315068</v>
      </c>
      <c r="I32" s="221">
        <f t="shared" si="1"/>
        <v>691357.53424657532</v>
      </c>
      <c r="J32" s="219">
        <f t="shared" si="9"/>
        <v>606250</v>
      </c>
      <c r="K32" s="198">
        <f t="shared" si="2"/>
        <v>85107.534246575349</v>
      </c>
    </row>
    <row r="33" spans="1:11" x14ac:dyDescent="0.2">
      <c r="A33" s="195">
        <v>28</v>
      </c>
      <c r="B33" s="261">
        <f t="shared" si="3"/>
        <v>49949</v>
      </c>
      <c r="C33" s="219">
        <f t="shared" si="4"/>
        <v>7275000</v>
      </c>
      <c r="D33" s="219">
        <f t="shared" si="0"/>
        <v>1455000</v>
      </c>
      <c r="E33" s="191">
        <f t="shared" si="5"/>
        <v>0.02</v>
      </c>
      <c r="F33" s="221">
        <f t="shared" si="6"/>
        <v>137055.68493150684</v>
      </c>
      <c r="G33" s="219">
        <f t="shared" si="7"/>
        <v>121250</v>
      </c>
      <c r="H33" s="198">
        <f t="shared" si="8"/>
        <v>15805.684931506848</v>
      </c>
      <c r="I33" s="221">
        <f t="shared" si="1"/>
        <v>685278.42465753423</v>
      </c>
      <c r="J33" s="219">
        <f t="shared" si="9"/>
        <v>606250</v>
      </c>
      <c r="K33" s="198">
        <f t="shared" si="2"/>
        <v>79028.42465753424</v>
      </c>
    </row>
    <row r="34" spans="1:11" x14ac:dyDescent="0.2">
      <c r="A34" s="195">
        <v>29</v>
      </c>
      <c r="B34" s="261">
        <f t="shared" si="3"/>
        <v>50131</v>
      </c>
      <c r="C34" s="219">
        <f t="shared" si="4"/>
        <v>6668750</v>
      </c>
      <c r="D34" s="219">
        <f t="shared" si="0"/>
        <v>1333750</v>
      </c>
      <c r="E34" s="191">
        <f t="shared" si="5"/>
        <v>0.02</v>
      </c>
      <c r="F34" s="221">
        <f t="shared" si="6"/>
        <v>135760.13698630137</v>
      </c>
      <c r="G34" s="219">
        <f t="shared" si="7"/>
        <v>121250</v>
      </c>
      <c r="H34" s="198">
        <f t="shared" si="8"/>
        <v>14510.13698630137</v>
      </c>
      <c r="I34" s="221">
        <f t="shared" si="1"/>
        <v>678800.68493150687</v>
      </c>
      <c r="J34" s="219">
        <f t="shared" si="9"/>
        <v>606250</v>
      </c>
      <c r="K34" s="198">
        <f t="shared" si="2"/>
        <v>72550.684931506854</v>
      </c>
    </row>
    <row r="35" spans="1:11" x14ac:dyDescent="0.2">
      <c r="A35" s="195">
        <v>30</v>
      </c>
      <c r="B35" s="261">
        <f t="shared" si="3"/>
        <v>50314</v>
      </c>
      <c r="C35" s="219">
        <f t="shared" si="4"/>
        <v>6062500</v>
      </c>
      <c r="D35" s="219">
        <f t="shared" si="0"/>
        <v>1212500</v>
      </c>
      <c r="E35" s="191">
        <f t="shared" si="5"/>
        <v>0.02</v>
      </c>
      <c r="F35" s="221">
        <f t="shared" si="6"/>
        <v>134624.0410958904</v>
      </c>
      <c r="G35" s="219">
        <f t="shared" si="7"/>
        <v>121250</v>
      </c>
      <c r="H35" s="198">
        <f t="shared" si="8"/>
        <v>13374.04109589041</v>
      </c>
      <c r="I35" s="221">
        <f t="shared" si="1"/>
        <v>673120.20547945204</v>
      </c>
      <c r="J35" s="219">
        <f t="shared" si="9"/>
        <v>606250</v>
      </c>
      <c r="K35" s="198">
        <f t="shared" si="2"/>
        <v>66870.205479452052</v>
      </c>
    </row>
    <row r="36" spans="1:11" x14ac:dyDescent="0.2">
      <c r="A36" s="195">
        <v>31</v>
      </c>
      <c r="B36" s="261">
        <f t="shared" si="3"/>
        <v>50496</v>
      </c>
      <c r="C36" s="219">
        <f t="shared" si="4"/>
        <v>5456250</v>
      </c>
      <c r="D36" s="219">
        <f t="shared" si="0"/>
        <v>1091250</v>
      </c>
      <c r="E36" s="191">
        <f t="shared" si="5"/>
        <v>0.02</v>
      </c>
      <c r="F36" s="221">
        <f t="shared" si="6"/>
        <v>133341.78082191781</v>
      </c>
      <c r="G36" s="219">
        <f t="shared" si="7"/>
        <v>121250</v>
      </c>
      <c r="H36" s="198">
        <f t="shared" si="8"/>
        <v>12091.780821917808</v>
      </c>
      <c r="I36" s="221">
        <f t="shared" si="1"/>
        <v>666708.90410958906</v>
      </c>
      <c r="J36" s="219">
        <f t="shared" si="9"/>
        <v>606250</v>
      </c>
      <c r="K36" s="198">
        <f t="shared" si="2"/>
        <v>60458.904109589042</v>
      </c>
    </row>
    <row r="37" spans="1:11" x14ac:dyDescent="0.2">
      <c r="A37" s="195">
        <v>32</v>
      </c>
      <c r="B37" s="261">
        <f t="shared" si="3"/>
        <v>50679</v>
      </c>
      <c r="C37" s="219">
        <f t="shared" si="4"/>
        <v>4850000</v>
      </c>
      <c r="D37" s="219">
        <f t="shared" si="0"/>
        <v>970000</v>
      </c>
      <c r="E37" s="191">
        <f t="shared" si="5"/>
        <v>0.02</v>
      </c>
      <c r="F37" s="221">
        <f t="shared" si="6"/>
        <v>132192.39726027398</v>
      </c>
      <c r="G37" s="219">
        <f t="shared" si="7"/>
        <v>121250</v>
      </c>
      <c r="H37" s="198">
        <f t="shared" si="8"/>
        <v>10942.397260273972</v>
      </c>
      <c r="I37" s="221">
        <f t="shared" si="1"/>
        <v>660961.98630136985</v>
      </c>
      <c r="J37" s="219">
        <f t="shared" si="9"/>
        <v>606250</v>
      </c>
      <c r="K37" s="198">
        <f t="shared" si="2"/>
        <v>54711.986301369863</v>
      </c>
    </row>
    <row r="38" spans="1:11" x14ac:dyDescent="0.2">
      <c r="A38" s="195">
        <v>33</v>
      </c>
      <c r="B38" s="261">
        <f t="shared" si="3"/>
        <v>50861</v>
      </c>
      <c r="C38" s="219">
        <f t="shared" si="4"/>
        <v>4243750</v>
      </c>
      <c r="D38" s="219">
        <f t="shared" si="0"/>
        <v>848750</v>
      </c>
      <c r="E38" s="191">
        <f t="shared" si="5"/>
        <v>0.02</v>
      </c>
      <c r="F38" s="221">
        <f t="shared" si="6"/>
        <v>130923.42465753424</v>
      </c>
      <c r="G38" s="219">
        <f t="shared" si="7"/>
        <v>121250</v>
      </c>
      <c r="H38" s="198">
        <f t="shared" si="8"/>
        <v>9673.4246575342459</v>
      </c>
      <c r="I38" s="221">
        <f t="shared" si="1"/>
        <v>654617.12328767125</v>
      </c>
      <c r="J38" s="219">
        <f t="shared" si="9"/>
        <v>606250</v>
      </c>
      <c r="K38" s="198">
        <f t="shared" si="2"/>
        <v>48367.123287671231</v>
      </c>
    </row>
    <row r="39" spans="1:11" x14ac:dyDescent="0.2">
      <c r="A39" s="195">
        <v>34</v>
      </c>
      <c r="B39" s="261">
        <f t="shared" si="3"/>
        <v>51044</v>
      </c>
      <c r="C39" s="219">
        <f t="shared" si="4"/>
        <v>3637500</v>
      </c>
      <c r="D39" s="219">
        <f t="shared" si="0"/>
        <v>727500</v>
      </c>
      <c r="E39" s="191">
        <f t="shared" si="5"/>
        <v>0.02</v>
      </c>
      <c r="F39" s="221">
        <f t="shared" si="6"/>
        <v>129760.75342465754</v>
      </c>
      <c r="G39" s="219">
        <f t="shared" si="7"/>
        <v>121250</v>
      </c>
      <c r="H39" s="198">
        <f t="shared" si="8"/>
        <v>8510.7534246575342</v>
      </c>
      <c r="I39" s="221">
        <f t="shared" si="1"/>
        <v>648803.76712328766</v>
      </c>
      <c r="J39" s="219">
        <f t="shared" si="9"/>
        <v>606250</v>
      </c>
      <c r="K39" s="198">
        <f t="shared" si="2"/>
        <v>42553.767123287675</v>
      </c>
    </row>
    <row r="40" spans="1:11" x14ac:dyDescent="0.2">
      <c r="A40" s="195">
        <v>35</v>
      </c>
      <c r="B40" s="261">
        <f t="shared" si="3"/>
        <v>51227</v>
      </c>
      <c r="C40" s="219">
        <f t="shared" si="4"/>
        <v>3031250</v>
      </c>
      <c r="D40" s="219">
        <f t="shared" si="0"/>
        <v>606250</v>
      </c>
      <c r="E40" s="191">
        <f t="shared" si="5"/>
        <v>0.02</v>
      </c>
      <c r="F40" s="221">
        <f t="shared" si="6"/>
        <v>128544.93150684932</v>
      </c>
      <c r="G40" s="219">
        <f t="shared" si="7"/>
        <v>121250</v>
      </c>
      <c r="H40" s="198">
        <f t="shared" si="8"/>
        <v>7294.9315068493152</v>
      </c>
      <c r="I40" s="221">
        <f t="shared" si="1"/>
        <v>642724.65753424657</v>
      </c>
      <c r="J40" s="219">
        <f t="shared" si="9"/>
        <v>606250</v>
      </c>
      <c r="K40" s="198">
        <f t="shared" si="2"/>
        <v>36474.657534246573</v>
      </c>
    </row>
    <row r="41" spans="1:11" x14ac:dyDescent="0.2">
      <c r="A41" s="195">
        <v>36</v>
      </c>
      <c r="B41" s="261">
        <f t="shared" si="3"/>
        <v>51410</v>
      </c>
      <c r="C41" s="219">
        <f t="shared" si="4"/>
        <v>2425000</v>
      </c>
      <c r="D41" s="219">
        <f t="shared" si="0"/>
        <v>485000</v>
      </c>
      <c r="E41" s="191">
        <f t="shared" si="5"/>
        <v>0.02</v>
      </c>
      <c r="F41" s="221">
        <f t="shared" si="6"/>
        <v>127329.10958904109</v>
      </c>
      <c r="G41" s="219">
        <f t="shared" si="7"/>
        <v>121250</v>
      </c>
      <c r="H41" s="198">
        <f t="shared" si="8"/>
        <v>6079.1095890410961</v>
      </c>
      <c r="I41" s="221">
        <f t="shared" si="1"/>
        <v>636645.54794520547</v>
      </c>
      <c r="J41" s="219">
        <f t="shared" si="9"/>
        <v>606250</v>
      </c>
      <c r="K41" s="198">
        <f t="shared" si="2"/>
        <v>30395.547945205479</v>
      </c>
    </row>
    <row r="42" spans="1:11" x14ac:dyDescent="0.2">
      <c r="A42" s="195">
        <v>37</v>
      </c>
      <c r="B42" s="261">
        <f t="shared" si="3"/>
        <v>51592</v>
      </c>
      <c r="C42" s="219">
        <f t="shared" si="4"/>
        <v>1818750</v>
      </c>
      <c r="D42" s="219">
        <f t="shared" si="0"/>
        <v>363750</v>
      </c>
      <c r="E42" s="191">
        <f t="shared" si="5"/>
        <v>0.02</v>
      </c>
      <c r="F42" s="221">
        <f t="shared" si="6"/>
        <v>126086.71232876713</v>
      </c>
      <c r="G42" s="219">
        <f t="shared" si="7"/>
        <v>121250</v>
      </c>
      <c r="H42" s="198">
        <f t="shared" si="8"/>
        <v>4836.7123287671229</v>
      </c>
      <c r="I42" s="221">
        <f t="shared" si="1"/>
        <v>630433.56164383562</v>
      </c>
      <c r="J42" s="219">
        <f t="shared" si="9"/>
        <v>606250</v>
      </c>
      <c r="K42" s="198">
        <f t="shared" si="2"/>
        <v>24183.561643835616</v>
      </c>
    </row>
    <row r="43" spans="1:11" x14ac:dyDescent="0.2">
      <c r="A43" s="195">
        <v>38</v>
      </c>
      <c r="B43" s="261">
        <f t="shared" si="3"/>
        <v>51775</v>
      </c>
      <c r="C43" s="219">
        <f t="shared" si="4"/>
        <v>1212500</v>
      </c>
      <c r="D43" s="219">
        <f t="shared" si="0"/>
        <v>242500</v>
      </c>
      <c r="E43" s="191">
        <f>E42</f>
        <v>0.02</v>
      </c>
      <c r="F43" s="221">
        <f t="shared" si="6"/>
        <v>124897.46575342465</v>
      </c>
      <c r="G43" s="219">
        <f t="shared" ref="G43:G45" si="10">G42</f>
        <v>121250</v>
      </c>
      <c r="H43" s="198">
        <f t="shared" si="8"/>
        <v>3647.4657534246576</v>
      </c>
      <c r="I43" s="221">
        <f t="shared" si="1"/>
        <v>624487.32876712328</v>
      </c>
      <c r="J43" s="219">
        <f t="shared" ref="J43:J44" si="11">J42</f>
        <v>606250</v>
      </c>
      <c r="K43" s="198">
        <f t="shared" si="2"/>
        <v>18237.328767123287</v>
      </c>
    </row>
    <row r="44" spans="1:11" x14ac:dyDescent="0.2">
      <c r="A44" s="195">
        <v>39</v>
      </c>
      <c r="B44" s="261">
        <f t="shared" si="3"/>
        <v>51957</v>
      </c>
      <c r="C44" s="219">
        <f t="shared" si="4"/>
        <v>606250</v>
      </c>
      <c r="D44" s="219">
        <f t="shared" si="0"/>
        <v>121250</v>
      </c>
      <c r="E44" s="191">
        <f t="shared" si="5"/>
        <v>0.02</v>
      </c>
      <c r="F44" s="221">
        <f t="shared" si="6"/>
        <v>123668.35616438356</v>
      </c>
      <c r="G44" s="219">
        <f t="shared" si="10"/>
        <v>121250</v>
      </c>
      <c r="H44" s="198">
        <f t="shared" si="8"/>
        <v>2418.3561643835615</v>
      </c>
      <c r="I44" s="221">
        <f t="shared" si="1"/>
        <v>618341.78082191781</v>
      </c>
      <c r="J44" s="219">
        <f t="shared" si="11"/>
        <v>606250</v>
      </c>
      <c r="K44" s="198">
        <f t="shared" si="2"/>
        <v>12091.780821917808</v>
      </c>
    </row>
    <row r="45" spans="1:11" x14ac:dyDescent="0.2">
      <c r="A45" s="195">
        <v>40</v>
      </c>
      <c r="B45" s="261">
        <f t="shared" si="3"/>
        <v>52140</v>
      </c>
      <c r="C45" s="219">
        <f t="shared" si="4"/>
        <v>0</v>
      </c>
      <c r="D45" s="219">
        <f t="shared" si="0"/>
        <v>0</v>
      </c>
      <c r="E45" s="191">
        <f t="shared" si="5"/>
        <v>0.02</v>
      </c>
      <c r="F45" s="221">
        <f t="shared" si="6"/>
        <v>122465.82191780822</v>
      </c>
      <c r="G45" s="219">
        <f t="shared" si="10"/>
        <v>121250</v>
      </c>
      <c r="H45" s="198">
        <f t="shared" si="8"/>
        <v>1215.8219178082193</v>
      </c>
      <c r="I45" s="221">
        <f>J45+K45</f>
        <v>612329.10958904109</v>
      </c>
      <c r="J45" s="219">
        <f t="shared" ref="J45" si="12">J44</f>
        <v>606250</v>
      </c>
      <c r="K45" s="198">
        <f t="shared" si="2"/>
        <v>6079.1095890410961</v>
      </c>
    </row>
    <row r="46" spans="1:11" s="230" customFormat="1" x14ac:dyDescent="0.2">
      <c r="A46" s="224"/>
      <c r="B46" s="225"/>
      <c r="C46" s="226"/>
      <c r="D46" s="226"/>
      <c r="E46" s="227" t="s">
        <v>89</v>
      </c>
      <c r="F46" s="228">
        <f>SUM(F5:F45)</f>
        <v>5844914.3835616428</v>
      </c>
      <c r="G46" s="229">
        <f t="shared" ref="G46:H46" si="13">SUM(G5:G45)</f>
        <v>4850000</v>
      </c>
      <c r="H46" s="197">
        <f t="shared" si="13"/>
        <v>994914.38356164377</v>
      </c>
    </row>
  </sheetData>
  <mergeCells count="7">
    <mergeCell ref="F3:H3"/>
    <mergeCell ref="I3:K3"/>
    <mergeCell ref="A1:H1"/>
    <mergeCell ref="A3:A4"/>
    <mergeCell ref="B3:B4"/>
    <mergeCell ref="E3:E4"/>
    <mergeCell ref="C3:D3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/>
  <ignoredErrors>
    <ignoredError sqref="F7:F4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workbookViewId="0">
      <selection activeCell="C25" sqref="C25"/>
    </sheetView>
  </sheetViews>
  <sheetFormatPr baseColWidth="10" defaultColWidth="14.3984375" defaultRowHeight="16" x14ac:dyDescent="0.2"/>
  <cols>
    <col min="1" max="1" width="5.3984375" style="180" customWidth="1"/>
    <col min="2" max="2" width="15.3984375" style="264" bestFit="1" customWidth="1"/>
    <col min="3" max="4" width="15.59765625" style="216" customWidth="1"/>
    <col min="5" max="5" width="8.59765625" style="179" customWidth="1"/>
    <col min="6" max="7" width="15.59765625" style="179" customWidth="1"/>
    <col min="8" max="8" width="19.19921875" style="179" customWidth="1"/>
    <col min="9" max="9" width="12.3984375" style="179" hidden="1" customWidth="1"/>
    <col min="10" max="10" width="11.3984375" style="179" hidden="1" customWidth="1"/>
    <col min="11" max="11" width="4.796875" style="179" hidden="1" customWidth="1"/>
    <col min="12" max="16384" width="14.3984375" style="179"/>
  </cols>
  <sheetData>
    <row r="1" spans="1:16" s="170" customFormat="1" ht="46.5" customHeight="1" x14ac:dyDescent="0.15">
      <c r="A1" s="278" t="s">
        <v>92</v>
      </c>
      <c r="B1" s="278"/>
      <c r="C1" s="278"/>
      <c r="D1" s="278"/>
      <c r="E1" s="278"/>
      <c r="F1" s="278"/>
      <c r="G1" s="278"/>
      <c r="H1" s="278"/>
      <c r="I1" s="222"/>
      <c r="J1" s="222"/>
      <c r="K1" s="222"/>
      <c r="L1" s="223"/>
      <c r="M1" s="223"/>
      <c r="N1" s="223"/>
      <c r="O1" s="223"/>
      <c r="P1" s="223"/>
    </row>
    <row r="2" spans="1:16" s="177" customFormat="1" ht="18" customHeight="1" x14ac:dyDescent="0.2">
      <c r="A2" s="212"/>
      <c r="B2" s="262"/>
      <c r="C2" s="220"/>
      <c r="D2" s="220"/>
      <c r="E2" s="218"/>
      <c r="F2" s="218"/>
      <c r="G2" s="218"/>
      <c r="H2" s="218" t="s">
        <v>88</v>
      </c>
      <c r="I2" s="218"/>
      <c r="J2" s="218"/>
      <c r="K2" s="218"/>
      <c r="L2" s="178"/>
      <c r="M2" s="178"/>
      <c r="N2" s="178"/>
      <c r="O2" s="178"/>
      <c r="P2" s="178"/>
    </row>
    <row r="3" spans="1:16" ht="18" customHeight="1" x14ac:dyDescent="0.2">
      <c r="A3" s="275" t="s">
        <v>87</v>
      </c>
      <c r="B3" s="279" t="s">
        <v>79</v>
      </c>
      <c r="C3" s="277" t="s">
        <v>80</v>
      </c>
      <c r="D3" s="277"/>
      <c r="E3" s="275" t="s">
        <v>77</v>
      </c>
      <c r="F3" s="275" t="s">
        <v>83</v>
      </c>
      <c r="G3" s="275"/>
      <c r="H3" s="275"/>
      <c r="I3" s="275" t="s">
        <v>86</v>
      </c>
      <c r="J3" s="275"/>
      <c r="K3" s="275"/>
    </row>
    <row r="4" spans="1:16" ht="32" x14ac:dyDescent="0.2">
      <c r="A4" s="275"/>
      <c r="B4" s="279"/>
      <c r="C4" s="217" t="s">
        <v>81</v>
      </c>
      <c r="D4" s="217" t="s">
        <v>82</v>
      </c>
      <c r="E4" s="275"/>
      <c r="F4" s="211" t="s">
        <v>81</v>
      </c>
      <c r="G4" s="211" t="s">
        <v>84</v>
      </c>
      <c r="H4" s="211" t="s">
        <v>85</v>
      </c>
      <c r="I4" s="211" t="s">
        <v>81</v>
      </c>
      <c r="J4" s="211" t="s">
        <v>84</v>
      </c>
      <c r="K4" s="211" t="s">
        <v>85</v>
      </c>
      <c r="L4" s="181"/>
    </row>
    <row r="5" spans="1:16" x14ac:dyDescent="0.2">
      <c r="A5" s="195">
        <v>0</v>
      </c>
      <c r="B5" s="261">
        <v>44835</v>
      </c>
      <c r="C5" s="197">
        <v>24250000</v>
      </c>
      <c r="D5" s="197">
        <f>C5*0.2</f>
        <v>4850000</v>
      </c>
      <c r="E5" s="191">
        <v>0.02</v>
      </c>
      <c r="F5" s="191"/>
      <c r="G5" s="191"/>
      <c r="H5" s="191"/>
      <c r="I5" s="191"/>
      <c r="J5" s="191"/>
      <c r="K5" s="191"/>
    </row>
    <row r="6" spans="1:16" x14ac:dyDescent="0.2">
      <c r="A6" s="195">
        <v>1</v>
      </c>
      <c r="B6" s="261">
        <f>DATE(YEAR(B5),MONTH(B5)+6,DAY(B5))</f>
        <v>45017</v>
      </c>
      <c r="C6" s="219">
        <f t="shared" ref="C6:C25" si="0">C5-J6</f>
        <v>23643750</v>
      </c>
      <c r="D6" s="219">
        <f t="shared" ref="D6:D25" si="1">D5-G6</f>
        <v>4607500</v>
      </c>
      <c r="E6" s="191">
        <f>E5</f>
        <v>0.02</v>
      </c>
      <c r="F6" s="221">
        <f>G6+H6</f>
        <v>290867.12328767125</v>
      </c>
      <c r="G6" s="219">
        <f>D5/20</f>
        <v>242500</v>
      </c>
      <c r="H6" s="198">
        <f t="shared" ref="H6:H25" si="2">(B6-B5)*D5*E5/365</f>
        <v>48367.123287671231</v>
      </c>
      <c r="I6" s="221">
        <f t="shared" ref="I6:I25" si="3">J6+K6</f>
        <v>848085.61643835623</v>
      </c>
      <c r="J6" s="219">
        <f>C5/40</f>
        <v>606250</v>
      </c>
      <c r="K6" s="198">
        <f t="shared" ref="K6:K25" si="4">C5*E5*(B6-B5)/365</f>
        <v>241835.61643835617</v>
      </c>
    </row>
    <row r="7" spans="1:16" x14ac:dyDescent="0.2">
      <c r="A7" s="195">
        <v>2</v>
      </c>
      <c r="B7" s="261">
        <f t="shared" ref="B7:B25" si="5">DATE(YEAR(B6),MONTH(B6)+6,DAY(B6))</f>
        <v>45200</v>
      </c>
      <c r="C7" s="219">
        <f t="shared" si="0"/>
        <v>23037500</v>
      </c>
      <c r="D7" s="219">
        <f t="shared" si="1"/>
        <v>4365000</v>
      </c>
      <c r="E7" s="191">
        <f t="shared" ref="E7:E25" si="6">E6</f>
        <v>0.02</v>
      </c>
      <c r="F7" s="221">
        <f t="shared" ref="F7:F25" si="7">G7+H7</f>
        <v>288701.23287671234</v>
      </c>
      <c r="G7" s="219">
        <f t="shared" ref="G7:G25" si="8">G6</f>
        <v>242500</v>
      </c>
      <c r="H7" s="198">
        <f t="shared" si="2"/>
        <v>46201.232876712325</v>
      </c>
      <c r="I7" s="221">
        <f t="shared" si="3"/>
        <v>843335.27397260279</v>
      </c>
      <c r="J7" s="219">
        <f t="shared" ref="J7:J25" si="9">J6</f>
        <v>606250</v>
      </c>
      <c r="K7" s="198">
        <f t="shared" si="4"/>
        <v>237085.27397260274</v>
      </c>
    </row>
    <row r="8" spans="1:16" x14ac:dyDescent="0.2">
      <c r="A8" s="195">
        <v>3</v>
      </c>
      <c r="B8" s="261">
        <f t="shared" si="5"/>
        <v>45383</v>
      </c>
      <c r="C8" s="219">
        <f t="shared" si="0"/>
        <v>22431250</v>
      </c>
      <c r="D8" s="219">
        <f t="shared" si="1"/>
        <v>4122500</v>
      </c>
      <c r="E8" s="191">
        <f t="shared" si="6"/>
        <v>0.02</v>
      </c>
      <c r="F8" s="221">
        <f t="shared" si="7"/>
        <v>286269.58904109587</v>
      </c>
      <c r="G8" s="219">
        <f t="shared" si="8"/>
        <v>242500</v>
      </c>
      <c r="H8" s="198">
        <f t="shared" si="2"/>
        <v>43769.589041095889</v>
      </c>
      <c r="I8" s="221">
        <f t="shared" si="3"/>
        <v>837256.16438356158</v>
      </c>
      <c r="J8" s="219">
        <f t="shared" si="9"/>
        <v>606250</v>
      </c>
      <c r="K8" s="198">
        <f t="shared" si="4"/>
        <v>231006.16438356164</v>
      </c>
    </row>
    <row r="9" spans="1:16" x14ac:dyDescent="0.2">
      <c r="A9" s="195">
        <v>4</v>
      </c>
      <c r="B9" s="261">
        <f t="shared" si="5"/>
        <v>45566</v>
      </c>
      <c r="C9" s="219">
        <f t="shared" si="0"/>
        <v>21825000</v>
      </c>
      <c r="D9" s="219">
        <f t="shared" si="1"/>
        <v>3880000</v>
      </c>
      <c r="E9" s="191">
        <f t="shared" si="6"/>
        <v>0.02</v>
      </c>
      <c r="F9" s="221">
        <f t="shared" si="7"/>
        <v>283837.94520547945</v>
      </c>
      <c r="G9" s="219">
        <f t="shared" si="8"/>
        <v>242500</v>
      </c>
      <c r="H9" s="198">
        <f t="shared" si="2"/>
        <v>41337.945205479453</v>
      </c>
      <c r="I9" s="221">
        <f t="shared" si="3"/>
        <v>831177.05479452061</v>
      </c>
      <c r="J9" s="219">
        <f t="shared" si="9"/>
        <v>606250</v>
      </c>
      <c r="K9" s="198">
        <f t="shared" si="4"/>
        <v>224927.05479452055</v>
      </c>
    </row>
    <row r="10" spans="1:16" x14ac:dyDescent="0.2">
      <c r="A10" s="195">
        <v>5</v>
      </c>
      <c r="B10" s="261">
        <f t="shared" si="5"/>
        <v>45748</v>
      </c>
      <c r="C10" s="219">
        <f t="shared" si="0"/>
        <v>21218750</v>
      </c>
      <c r="D10" s="219">
        <f t="shared" si="1"/>
        <v>3637500</v>
      </c>
      <c r="E10" s="191">
        <f t="shared" si="6"/>
        <v>0.02</v>
      </c>
      <c r="F10" s="221">
        <f t="shared" si="7"/>
        <v>281193.69863013696</v>
      </c>
      <c r="G10" s="219">
        <f t="shared" si="8"/>
        <v>242500</v>
      </c>
      <c r="H10" s="198">
        <f t="shared" si="2"/>
        <v>38693.698630136983</v>
      </c>
      <c r="I10" s="221">
        <f t="shared" si="3"/>
        <v>823902.05479452061</v>
      </c>
      <c r="J10" s="219">
        <f t="shared" si="9"/>
        <v>606250</v>
      </c>
      <c r="K10" s="198">
        <f t="shared" si="4"/>
        <v>217652.05479452055</v>
      </c>
    </row>
    <row r="11" spans="1:16" x14ac:dyDescent="0.2">
      <c r="A11" s="195">
        <v>6</v>
      </c>
      <c r="B11" s="261">
        <f t="shared" si="5"/>
        <v>45931</v>
      </c>
      <c r="C11" s="219">
        <f t="shared" si="0"/>
        <v>20612500</v>
      </c>
      <c r="D11" s="219">
        <f t="shared" si="1"/>
        <v>3395000</v>
      </c>
      <c r="E11" s="191">
        <f t="shared" si="6"/>
        <v>0.02</v>
      </c>
      <c r="F11" s="221">
        <f t="shared" si="7"/>
        <v>278974.65753424657</v>
      </c>
      <c r="G11" s="219">
        <f t="shared" si="8"/>
        <v>242500</v>
      </c>
      <c r="H11" s="198">
        <f t="shared" si="2"/>
        <v>36474.657534246573</v>
      </c>
      <c r="I11" s="221">
        <f t="shared" si="3"/>
        <v>819018.83561643842</v>
      </c>
      <c r="J11" s="219">
        <f t="shared" si="9"/>
        <v>606250</v>
      </c>
      <c r="K11" s="198">
        <f t="shared" si="4"/>
        <v>212768.83561643836</v>
      </c>
    </row>
    <row r="12" spans="1:16" x14ac:dyDescent="0.2">
      <c r="A12" s="195">
        <v>7</v>
      </c>
      <c r="B12" s="261">
        <f t="shared" si="5"/>
        <v>46113</v>
      </c>
      <c r="C12" s="219">
        <f t="shared" si="0"/>
        <v>20006250</v>
      </c>
      <c r="D12" s="219">
        <f t="shared" si="1"/>
        <v>3152500</v>
      </c>
      <c r="E12" s="191">
        <f t="shared" si="6"/>
        <v>0.02</v>
      </c>
      <c r="F12" s="221">
        <f t="shared" si="7"/>
        <v>276356.98630136985</v>
      </c>
      <c r="G12" s="219">
        <f t="shared" si="8"/>
        <v>242500</v>
      </c>
      <c r="H12" s="198">
        <f t="shared" si="2"/>
        <v>33856.986301369863</v>
      </c>
      <c r="I12" s="221">
        <f t="shared" si="3"/>
        <v>811810.27397260279</v>
      </c>
      <c r="J12" s="219">
        <f t="shared" si="9"/>
        <v>606250</v>
      </c>
      <c r="K12" s="198">
        <f t="shared" si="4"/>
        <v>205560.27397260274</v>
      </c>
    </row>
    <row r="13" spans="1:16" x14ac:dyDescent="0.2">
      <c r="A13" s="195">
        <v>8</v>
      </c>
      <c r="B13" s="261">
        <f t="shared" si="5"/>
        <v>46296</v>
      </c>
      <c r="C13" s="219">
        <f t="shared" si="0"/>
        <v>19400000</v>
      </c>
      <c r="D13" s="219">
        <f t="shared" si="1"/>
        <v>2910000</v>
      </c>
      <c r="E13" s="191">
        <f t="shared" si="6"/>
        <v>0.02</v>
      </c>
      <c r="F13" s="221">
        <f t="shared" si="7"/>
        <v>274111.36986301368</v>
      </c>
      <c r="G13" s="219">
        <f t="shared" si="8"/>
        <v>242500</v>
      </c>
      <c r="H13" s="198">
        <f t="shared" si="2"/>
        <v>31611.369863013697</v>
      </c>
      <c r="I13" s="221">
        <f t="shared" si="3"/>
        <v>806860.61643835623</v>
      </c>
      <c r="J13" s="219">
        <f t="shared" si="9"/>
        <v>606250</v>
      </c>
      <c r="K13" s="198">
        <f t="shared" si="4"/>
        <v>200610.61643835617</v>
      </c>
    </row>
    <row r="14" spans="1:16" x14ac:dyDescent="0.2">
      <c r="A14" s="195">
        <v>9</v>
      </c>
      <c r="B14" s="261">
        <f t="shared" si="5"/>
        <v>46478</v>
      </c>
      <c r="C14" s="219">
        <f t="shared" si="0"/>
        <v>18793750</v>
      </c>
      <c r="D14" s="219">
        <f t="shared" si="1"/>
        <v>2667500</v>
      </c>
      <c r="E14" s="191">
        <f t="shared" si="6"/>
        <v>0.02</v>
      </c>
      <c r="F14" s="221">
        <f t="shared" si="7"/>
        <v>271520.27397260274</v>
      </c>
      <c r="G14" s="219">
        <f t="shared" si="8"/>
        <v>242500</v>
      </c>
      <c r="H14" s="198">
        <f t="shared" si="2"/>
        <v>29020.273972602739</v>
      </c>
      <c r="I14" s="221">
        <f t="shared" si="3"/>
        <v>799718.49315068498</v>
      </c>
      <c r="J14" s="219">
        <f t="shared" si="9"/>
        <v>606250</v>
      </c>
      <c r="K14" s="198">
        <f t="shared" si="4"/>
        <v>193468.49315068492</v>
      </c>
    </row>
    <row r="15" spans="1:16" x14ac:dyDescent="0.2">
      <c r="A15" s="195">
        <v>10</v>
      </c>
      <c r="B15" s="261">
        <f t="shared" si="5"/>
        <v>46661</v>
      </c>
      <c r="C15" s="219">
        <f t="shared" si="0"/>
        <v>18187500</v>
      </c>
      <c r="D15" s="219">
        <f t="shared" si="1"/>
        <v>2425000</v>
      </c>
      <c r="E15" s="191">
        <f t="shared" si="6"/>
        <v>0.02</v>
      </c>
      <c r="F15" s="221">
        <f t="shared" si="7"/>
        <v>269248.08219178079</v>
      </c>
      <c r="G15" s="219">
        <f t="shared" si="8"/>
        <v>242500</v>
      </c>
      <c r="H15" s="198">
        <f t="shared" si="2"/>
        <v>26748.082191780821</v>
      </c>
      <c r="I15" s="221">
        <f t="shared" si="3"/>
        <v>794702.39726027404</v>
      </c>
      <c r="J15" s="219">
        <f t="shared" si="9"/>
        <v>606250</v>
      </c>
      <c r="K15" s="198">
        <f t="shared" si="4"/>
        <v>188452.39726027398</v>
      </c>
    </row>
    <row r="16" spans="1:16" x14ac:dyDescent="0.2">
      <c r="A16" s="195">
        <v>11</v>
      </c>
      <c r="B16" s="261">
        <f t="shared" si="5"/>
        <v>46844</v>
      </c>
      <c r="C16" s="219">
        <f t="shared" si="0"/>
        <v>17581250</v>
      </c>
      <c r="D16" s="219">
        <f t="shared" si="1"/>
        <v>2182500</v>
      </c>
      <c r="E16" s="191">
        <f t="shared" si="6"/>
        <v>0.02</v>
      </c>
      <c r="F16" s="221">
        <f t="shared" si="7"/>
        <v>266816.43835616438</v>
      </c>
      <c r="G16" s="219">
        <f t="shared" si="8"/>
        <v>242500</v>
      </c>
      <c r="H16" s="198">
        <f t="shared" si="2"/>
        <v>24316.438356164384</v>
      </c>
      <c r="I16" s="221">
        <f t="shared" si="3"/>
        <v>788623.28767123283</v>
      </c>
      <c r="J16" s="219">
        <f t="shared" si="9"/>
        <v>606250</v>
      </c>
      <c r="K16" s="198">
        <f t="shared" si="4"/>
        <v>182373.28767123289</v>
      </c>
    </row>
    <row r="17" spans="1:11" x14ac:dyDescent="0.2">
      <c r="A17" s="195">
        <v>12</v>
      </c>
      <c r="B17" s="261">
        <f t="shared" si="5"/>
        <v>47027</v>
      </c>
      <c r="C17" s="219">
        <f t="shared" si="0"/>
        <v>16975000</v>
      </c>
      <c r="D17" s="219">
        <f t="shared" si="1"/>
        <v>1940000</v>
      </c>
      <c r="E17" s="191">
        <f t="shared" si="6"/>
        <v>0.02</v>
      </c>
      <c r="F17" s="221">
        <f t="shared" si="7"/>
        <v>264384.79452054796</v>
      </c>
      <c r="G17" s="219">
        <f t="shared" si="8"/>
        <v>242500</v>
      </c>
      <c r="H17" s="198">
        <f t="shared" si="2"/>
        <v>21884.794520547945</v>
      </c>
      <c r="I17" s="221">
        <f t="shared" si="3"/>
        <v>782544.17808219185</v>
      </c>
      <c r="J17" s="219">
        <f t="shared" si="9"/>
        <v>606250</v>
      </c>
      <c r="K17" s="198">
        <f t="shared" si="4"/>
        <v>176294.17808219179</v>
      </c>
    </row>
    <row r="18" spans="1:11" x14ac:dyDescent="0.2">
      <c r="A18" s="195">
        <v>13</v>
      </c>
      <c r="B18" s="261">
        <f t="shared" si="5"/>
        <v>47209</v>
      </c>
      <c r="C18" s="219">
        <f t="shared" si="0"/>
        <v>16368750</v>
      </c>
      <c r="D18" s="219">
        <f t="shared" si="1"/>
        <v>1697500</v>
      </c>
      <c r="E18" s="191">
        <f t="shared" si="6"/>
        <v>0.02</v>
      </c>
      <c r="F18" s="221">
        <f t="shared" si="7"/>
        <v>261846.84931506848</v>
      </c>
      <c r="G18" s="219">
        <f t="shared" si="8"/>
        <v>242500</v>
      </c>
      <c r="H18" s="198">
        <f t="shared" si="2"/>
        <v>19346.849315068492</v>
      </c>
      <c r="I18" s="221">
        <f t="shared" si="3"/>
        <v>775534.93150684936</v>
      </c>
      <c r="J18" s="219">
        <f t="shared" si="9"/>
        <v>606250</v>
      </c>
      <c r="K18" s="198">
        <f t="shared" si="4"/>
        <v>169284.9315068493</v>
      </c>
    </row>
    <row r="19" spans="1:11" x14ac:dyDescent="0.2">
      <c r="A19" s="195">
        <v>14</v>
      </c>
      <c r="B19" s="261">
        <f t="shared" si="5"/>
        <v>47392</v>
      </c>
      <c r="C19" s="219">
        <f t="shared" si="0"/>
        <v>15762500</v>
      </c>
      <c r="D19" s="219">
        <f t="shared" si="1"/>
        <v>1455000</v>
      </c>
      <c r="E19" s="191">
        <f t="shared" si="6"/>
        <v>0.02</v>
      </c>
      <c r="F19" s="221">
        <f t="shared" si="7"/>
        <v>259521.50684931508</v>
      </c>
      <c r="G19" s="219">
        <f t="shared" si="8"/>
        <v>242500</v>
      </c>
      <c r="H19" s="198">
        <f t="shared" si="2"/>
        <v>17021.506849315068</v>
      </c>
      <c r="I19" s="221">
        <f t="shared" si="3"/>
        <v>770385.95890410955</v>
      </c>
      <c r="J19" s="219">
        <f t="shared" si="9"/>
        <v>606250</v>
      </c>
      <c r="K19" s="198">
        <f t="shared" si="4"/>
        <v>164135.95890410958</v>
      </c>
    </row>
    <row r="20" spans="1:11" x14ac:dyDescent="0.2">
      <c r="A20" s="195">
        <v>15</v>
      </c>
      <c r="B20" s="261">
        <f t="shared" si="5"/>
        <v>47574</v>
      </c>
      <c r="C20" s="219">
        <f t="shared" si="0"/>
        <v>15156250</v>
      </c>
      <c r="D20" s="219">
        <f t="shared" si="1"/>
        <v>1212500</v>
      </c>
      <c r="E20" s="191">
        <f t="shared" si="6"/>
        <v>0.02</v>
      </c>
      <c r="F20" s="221">
        <f t="shared" si="7"/>
        <v>257010.13698630137</v>
      </c>
      <c r="G20" s="219">
        <f t="shared" si="8"/>
        <v>242500</v>
      </c>
      <c r="H20" s="198">
        <f t="shared" si="2"/>
        <v>14510.13698630137</v>
      </c>
      <c r="I20" s="221">
        <f t="shared" si="3"/>
        <v>763443.15068493155</v>
      </c>
      <c r="J20" s="219">
        <f t="shared" si="9"/>
        <v>606250</v>
      </c>
      <c r="K20" s="198">
        <f t="shared" si="4"/>
        <v>157193.15068493152</v>
      </c>
    </row>
    <row r="21" spans="1:11" x14ac:dyDescent="0.2">
      <c r="A21" s="195">
        <v>16</v>
      </c>
      <c r="B21" s="261">
        <f t="shared" si="5"/>
        <v>47757</v>
      </c>
      <c r="C21" s="219">
        <f t="shared" si="0"/>
        <v>14550000</v>
      </c>
      <c r="D21" s="219">
        <f t="shared" si="1"/>
        <v>970000</v>
      </c>
      <c r="E21" s="191">
        <f t="shared" si="6"/>
        <v>0.02</v>
      </c>
      <c r="F21" s="221">
        <f t="shared" si="7"/>
        <v>254658.21917808219</v>
      </c>
      <c r="G21" s="219">
        <f t="shared" si="8"/>
        <v>242500</v>
      </c>
      <c r="H21" s="198">
        <f t="shared" si="2"/>
        <v>12158.219178082192</v>
      </c>
      <c r="I21" s="221">
        <f t="shared" si="3"/>
        <v>758227.73972602736</v>
      </c>
      <c r="J21" s="219">
        <f t="shared" si="9"/>
        <v>606250</v>
      </c>
      <c r="K21" s="198">
        <f t="shared" si="4"/>
        <v>151977.73972602739</v>
      </c>
    </row>
    <row r="22" spans="1:11" x14ac:dyDescent="0.2">
      <c r="A22" s="195">
        <v>17</v>
      </c>
      <c r="B22" s="261">
        <f t="shared" si="5"/>
        <v>47939</v>
      </c>
      <c r="C22" s="219">
        <f t="shared" si="0"/>
        <v>13943750</v>
      </c>
      <c r="D22" s="219">
        <f t="shared" si="1"/>
        <v>727500</v>
      </c>
      <c r="E22" s="191">
        <f t="shared" si="6"/>
        <v>0.02</v>
      </c>
      <c r="F22" s="221">
        <f t="shared" si="7"/>
        <v>252173.42465753425</v>
      </c>
      <c r="G22" s="219">
        <f t="shared" si="8"/>
        <v>242500</v>
      </c>
      <c r="H22" s="198">
        <f t="shared" si="2"/>
        <v>9673.4246575342459</v>
      </c>
      <c r="I22" s="221">
        <f t="shared" si="3"/>
        <v>751351.36986301374</v>
      </c>
      <c r="J22" s="219">
        <f t="shared" si="9"/>
        <v>606250</v>
      </c>
      <c r="K22" s="198">
        <f t="shared" si="4"/>
        <v>145101.36986301371</v>
      </c>
    </row>
    <row r="23" spans="1:11" x14ac:dyDescent="0.2">
      <c r="A23" s="195">
        <v>18</v>
      </c>
      <c r="B23" s="261">
        <f t="shared" si="5"/>
        <v>48122</v>
      </c>
      <c r="C23" s="219">
        <f t="shared" si="0"/>
        <v>13337500</v>
      </c>
      <c r="D23" s="219">
        <f t="shared" si="1"/>
        <v>485000</v>
      </c>
      <c r="E23" s="191">
        <f t="shared" si="6"/>
        <v>0.02</v>
      </c>
      <c r="F23" s="221">
        <f t="shared" si="7"/>
        <v>249794.9315068493</v>
      </c>
      <c r="G23" s="219">
        <f t="shared" si="8"/>
        <v>242500</v>
      </c>
      <c r="H23" s="198">
        <f t="shared" si="2"/>
        <v>7294.9315068493152</v>
      </c>
      <c r="I23" s="221">
        <f t="shared" si="3"/>
        <v>746069.52054794517</v>
      </c>
      <c r="J23" s="219">
        <f t="shared" si="9"/>
        <v>606250</v>
      </c>
      <c r="K23" s="198">
        <f t="shared" si="4"/>
        <v>139819.5205479452</v>
      </c>
    </row>
    <row r="24" spans="1:11" x14ac:dyDescent="0.2">
      <c r="A24" s="195">
        <v>19</v>
      </c>
      <c r="B24" s="261">
        <f t="shared" si="5"/>
        <v>48305</v>
      </c>
      <c r="C24" s="219">
        <f t="shared" si="0"/>
        <v>12731250</v>
      </c>
      <c r="D24" s="219">
        <f t="shared" si="1"/>
        <v>242500</v>
      </c>
      <c r="E24" s="191">
        <f t="shared" si="6"/>
        <v>0.02</v>
      </c>
      <c r="F24" s="221">
        <f t="shared" si="7"/>
        <v>247363.28767123289</v>
      </c>
      <c r="G24" s="219">
        <f t="shared" si="8"/>
        <v>242500</v>
      </c>
      <c r="H24" s="198">
        <f t="shared" si="2"/>
        <v>4863.2876712328771</v>
      </c>
      <c r="I24" s="221">
        <f t="shared" si="3"/>
        <v>739990.41095890407</v>
      </c>
      <c r="J24" s="219">
        <f t="shared" si="9"/>
        <v>606250</v>
      </c>
      <c r="K24" s="198">
        <f t="shared" si="4"/>
        <v>133740.4109589041</v>
      </c>
    </row>
    <row r="25" spans="1:11" x14ac:dyDescent="0.2">
      <c r="A25" s="195">
        <v>20</v>
      </c>
      <c r="B25" s="261">
        <f t="shared" si="5"/>
        <v>48488</v>
      </c>
      <c r="C25" s="219">
        <f t="shared" si="0"/>
        <v>12125000</v>
      </c>
      <c r="D25" s="219">
        <f t="shared" si="1"/>
        <v>0</v>
      </c>
      <c r="E25" s="191">
        <f t="shared" si="6"/>
        <v>0.02</v>
      </c>
      <c r="F25" s="221">
        <f t="shared" si="7"/>
        <v>244931.64383561644</v>
      </c>
      <c r="G25" s="219">
        <f t="shared" si="8"/>
        <v>242500</v>
      </c>
      <c r="H25" s="198">
        <f t="shared" si="2"/>
        <v>2431.6438356164385</v>
      </c>
      <c r="I25" s="221">
        <f t="shared" si="3"/>
        <v>733911.30136986298</v>
      </c>
      <c r="J25" s="219">
        <f t="shared" si="9"/>
        <v>606250</v>
      </c>
      <c r="K25" s="198">
        <f t="shared" si="4"/>
        <v>127661.30136986301</v>
      </c>
    </row>
    <row r="26" spans="1:11" s="230" customFormat="1" x14ac:dyDescent="0.2">
      <c r="A26" s="224"/>
      <c r="B26" s="263"/>
      <c r="C26" s="226"/>
      <c r="D26" s="226"/>
      <c r="E26" s="227" t="s">
        <v>89</v>
      </c>
      <c r="F26" s="228">
        <f>SUM(F5:F25)</f>
        <v>5359582.1917808205</v>
      </c>
      <c r="G26" s="229">
        <f>SUM(G5:G25)</f>
        <v>4850000</v>
      </c>
      <c r="H26" s="197">
        <f>SUM(H5:H25)</f>
        <v>509582.19178082189</v>
      </c>
    </row>
  </sheetData>
  <mergeCells count="7">
    <mergeCell ref="I3:K3"/>
    <mergeCell ref="A1:H1"/>
    <mergeCell ref="A3:A4"/>
    <mergeCell ref="B3:B4"/>
    <mergeCell ref="C3:D3"/>
    <mergeCell ref="E3:E4"/>
    <mergeCell ref="F3:H3"/>
  </mergeCells>
  <pageMargins left="0.7" right="0.7" top="0.75" bottom="0.75" header="0.3" footer="0.3"/>
  <pageSetup paperSize="9" scale="9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D51"/>
  <sheetViews>
    <sheetView topLeftCell="C1" workbookViewId="0">
      <pane ySplit="5" topLeftCell="A6" activePane="bottomLeft" state="frozen"/>
      <selection activeCell="C1" sqref="C1"/>
      <selection pane="bottomLeft" activeCell="AA54" sqref="AA54"/>
    </sheetView>
  </sheetViews>
  <sheetFormatPr baseColWidth="10" defaultColWidth="14.3984375" defaultRowHeight="16" x14ac:dyDescent="0.2"/>
  <cols>
    <col min="1" max="1" width="11.3984375" style="179" hidden="1" customWidth="1"/>
    <col min="2" max="2" width="4.19921875" style="179" hidden="1" customWidth="1"/>
    <col min="3" max="3" width="6.796875" style="179" customWidth="1"/>
    <col min="4" max="4" width="15.3984375" style="180" hidden="1" customWidth="1"/>
    <col min="5" max="5" width="14.3984375" style="180" customWidth="1"/>
    <col min="6" max="6" width="14.3984375" style="179" hidden="1" customWidth="1"/>
    <col min="7" max="7" width="15" style="179" hidden="1" customWidth="1"/>
    <col min="8" max="8" width="3" style="179" hidden="1" customWidth="1"/>
    <col min="9" max="9" width="15.59765625" style="179" customWidth="1"/>
    <col min="10" max="10" width="10.3984375" style="179" hidden="1" customWidth="1"/>
    <col min="11" max="11" width="8.796875" style="179" customWidth="1"/>
    <col min="12" max="12" width="13.59765625" style="179" bestFit="1" customWidth="1"/>
    <col min="13" max="16" width="15.19921875" style="179" hidden="1" customWidth="1"/>
    <col min="17" max="21" width="12.796875" style="179" customWidth="1"/>
    <col min="22" max="22" width="17.59765625" style="179" hidden="1" customWidth="1"/>
    <col min="23" max="23" width="16.796875" style="179" hidden="1" customWidth="1"/>
    <col min="24" max="24" width="19.3984375" style="180" hidden="1" customWidth="1"/>
    <col min="25" max="16384" width="14.3984375" style="179"/>
  </cols>
  <sheetData>
    <row r="1" spans="1:30" s="60" customFormat="1" ht="32.5" customHeight="1" x14ac:dyDescent="0.2">
      <c r="C1" s="291" t="s">
        <v>78</v>
      </c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291"/>
      <c r="T1" s="291"/>
      <c r="U1" s="291"/>
      <c r="V1" s="212"/>
      <c r="W1" s="212"/>
      <c r="X1" s="212"/>
      <c r="Y1" s="212"/>
      <c r="Z1" s="212"/>
      <c r="AA1" s="212"/>
      <c r="AB1" s="212"/>
      <c r="AC1" s="212"/>
      <c r="AD1" s="212"/>
    </row>
    <row r="2" spans="1:30" s="177" customFormat="1" ht="54" customHeight="1" x14ac:dyDescent="0.15">
      <c r="C2" s="292" t="s">
        <v>76</v>
      </c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13"/>
      <c r="W2" s="213"/>
      <c r="X2" s="213"/>
      <c r="Y2" s="178"/>
      <c r="Z2" s="178"/>
      <c r="AA2" s="178"/>
      <c r="AB2" s="178"/>
      <c r="AC2" s="178"/>
      <c r="AD2" s="178"/>
    </row>
    <row r="3" spans="1:30" ht="15.75" customHeight="1" x14ac:dyDescent="0.2">
      <c r="C3" s="280" t="s">
        <v>75</v>
      </c>
      <c r="D3" s="280" t="s">
        <v>69</v>
      </c>
      <c r="E3" s="280" t="s">
        <v>68</v>
      </c>
      <c r="F3" s="183"/>
      <c r="G3" s="184"/>
      <c r="H3" s="184"/>
      <c r="I3" s="280" t="s">
        <v>70</v>
      </c>
      <c r="J3" s="283" t="s">
        <v>4</v>
      </c>
      <c r="K3" s="280" t="s">
        <v>77</v>
      </c>
      <c r="L3" s="286" t="s">
        <v>4</v>
      </c>
      <c r="M3" s="287"/>
      <c r="N3" s="287"/>
      <c r="O3" s="287"/>
      <c r="P3" s="287"/>
      <c r="Q3" s="287"/>
      <c r="R3" s="288"/>
      <c r="S3" s="286" t="s">
        <v>74</v>
      </c>
      <c r="T3" s="287"/>
      <c r="U3" s="288"/>
      <c r="V3" s="185"/>
      <c r="W3" s="280" t="s">
        <v>18</v>
      </c>
      <c r="X3" s="280" t="s">
        <v>19</v>
      </c>
    </row>
    <row r="4" spans="1:30" ht="15.75" customHeight="1" x14ac:dyDescent="0.2">
      <c r="C4" s="281"/>
      <c r="D4" s="281"/>
      <c r="E4" s="281"/>
      <c r="F4" s="183"/>
      <c r="G4" s="184"/>
      <c r="H4" s="184"/>
      <c r="I4" s="281"/>
      <c r="J4" s="284"/>
      <c r="K4" s="281"/>
      <c r="L4" s="280" t="s">
        <v>71</v>
      </c>
      <c r="M4" s="289" t="s">
        <v>0</v>
      </c>
      <c r="N4" s="290"/>
      <c r="O4" s="211"/>
      <c r="P4" s="211"/>
      <c r="Q4" s="289" t="s">
        <v>0</v>
      </c>
      <c r="R4" s="290"/>
      <c r="S4" s="280" t="s">
        <v>71</v>
      </c>
      <c r="T4" s="289" t="s">
        <v>0</v>
      </c>
      <c r="U4" s="290"/>
      <c r="V4" s="185"/>
      <c r="W4" s="281"/>
      <c r="X4" s="281"/>
    </row>
    <row r="5" spans="1:30" ht="35" customHeight="1" x14ac:dyDescent="0.2">
      <c r="C5" s="282"/>
      <c r="D5" s="282"/>
      <c r="E5" s="282"/>
      <c r="F5" s="211" t="s">
        <v>5</v>
      </c>
      <c r="G5" s="211" t="s">
        <v>6</v>
      </c>
      <c r="H5" s="211" t="s">
        <v>7</v>
      </c>
      <c r="I5" s="282"/>
      <c r="J5" s="285"/>
      <c r="K5" s="282"/>
      <c r="L5" s="282"/>
      <c r="M5" s="211" t="s">
        <v>73</v>
      </c>
      <c r="N5" s="211" t="s">
        <v>72</v>
      </c>
      <c r="O5" s="211"/>
      <c r="P5" s="211"/>
      <c r="Q5" s="211" t="s">
        <v>73</v>
      </c>
      <c r="R5" s="211" t="s">
        <v>72</v>
      </c>
      <c r="S5" s="282"/>
      <c r="T5" s="211" t="s">
        <v>73</v>
      </c>
      <c r="U5" s="211" t="s">
        <v>72</v>
      </c>
      <c r="V5" s="211" t="s">
        <v>9</v>
      </c>
      <c r="W5" s="282"/>
      <c r="X5" s="282"/>
      <c r="Z5" s="181"/>
    </row>
    <row r="6" spans="1:30" ht="14" hidden="1" customHeight="1" x14ac:dyDescent="0.2">
      <c r="C6" s="211" t="s">
        <v>2</v>
      </c>
      <c r="D6" s="205" t="s">
        <v>32</v>
      </c>
      <c r="E6" s="206"/>
      <c r="F6" s="207"/>
      <c r="G6" s="207"/>
      <c r="H6" s="207"/>
      <c r="I6" s="207"/>
      <c r="J6" s="207"/>
      <c r="K6" s="207"/>
      <c r="L6" s="207"/>
      <c r="M6" s="207"/>
      <c r="N6" s="207"/>
      <c r="O6" s="207"/>
      <c r="P6" s="207"/>
      <c r="Q6" s="207"/>
      <c r="R6" s="207"/>
      <c r="S6" s="207"/>
      <c r="T6" s="207"/>
      <c r="U6" s="208"/>
      <c r="V6" s="207"/>
      <c r="W6" s="211"/>
      <c r="X6" s="211"/>
      <c r="Z6" s="181"/>
    </row>
    <row r="7" spans="1:30" ht="14" hidden="1" customHeight="1" x14ac:dyDescent="0.2">
      <c r="A7" s="179" t="s">
        <v>10</v>
      </c>
      <c r="B7" s="179">
        <v>1</v>
      </c>
      <c r="C7" s="187">
        <v>1</v>
      </c>
      <c r="D7" s="196">
        <v>43009</v>
      </c>
      <c r="E7" s="196">
        <v>43191</v>
      </c>
      <c r="F7" s="187">
        <v>0</v>
      </c>
      <c r="G7" s="187">
        <f>E7-D7</f>
        <v>182</v>
      </c>
      <c r="H7" s="188">
        <f>'[2]Co cau+Tiendo'!E6</f>
        <v>0</v>
      </c>
      <c r="I7" s="189">
        <f>H7</f>
        <v>0</v>
      </c>
      <c r="J7" s="190">
        <v>0</v>
      </c>
      <c r="K7" s="191">
        <v>0.02</v>
      </c>
      <c r="L7" s="192"/>
      <c r="M7" s="192"/>
      <c r="N7" s="192"/>
      <c r="O7" s="192"/>
      <c r="P7" s="192"/>
      <c r="Q7" s="192"/>
      <c r="R7" s="192"/>
      <c r="S7" s="192">
        <f t="shared" ref="S7:S37" si="0">I7*K7*G7/365</f>
        <v>0</v>
      </c>
      <c r="T7" s="192"/>
      <c r="U7" s="192"/>
      <c r="V7" s="193">
        <f t="shared" ref="V7:V16" si="1">L7</f>
        <v>0</v>
      </c>
      <c r="W7" s="193">
        <f>SUM(V7)+V8</f>
        <v>0</v>
      </c>
      <c r="X7" s="194">
        <f>W7*[2]DieuKien!$D$18/1000000000</f>
        <v>0</v>
      </c>
      <c r="Z7" s="181"/>
    </row>
    <row r="8" spans="1:30" ht="15.75" hidden="1" customHeight="1" x14ac:dyDescent="0.2">
      <c r="C8" s="187">
        <f>C7+1</f>
        <v>2</v>
      </c>
      <c r="D8" s="196">
        <f>E7</f>
        <v>43191</v>
      </c>
      <c r="E8" s="196">
        <f>DATE(YEAR(D8),MONTH(D8)+6,DAY(D8))</f>
        <v>43374</v>
      </c>
      <c r="F8" s="187">
        <f>F7+0.5</f>
        <v>0.5</v>
      </c>
      <c r="G8" s="187">
        <f t="shared" ref="G8:G37" si="2">E8-D8</f>
        <v>183</v>
      </c>
      <c r="H8" s="189"/>
      <c r="I8" s="189">
        <f t="shared" ref="I8:I16" si="3">S7+H8+I7</f>
        <v>0</v>
      </c>
      <c r="J8" s="190">
        <v>0</v>
      </c>
      <c r="K8" s="191">
        <v>0.02</v>
      </c>
      <c r="L8" s="192"/>
      <c r="M8" s="192"/>
      <c r="N8" s="192"/>
      <c r="O8" s="192"/>
      <c r="P8" s="192"/>
      <c r="Q8" s="192"/>
      <c r="R8" s="192"/>
      <c r="S8" s="192">
        <f t="shared" si="0"/>
        <v>0</v>
      </c>
      <c r="T8" s="192"/>
      <c r="U8" s="192"/>
      <c r="V8" s="193">
        <f t="shared" si="1"/>
        <v>0</v>
      </c>
      <c r="W8" s="193"/>
      <c r="X8" s="195"/>
    </row>
    <row r="9" spans="1:30" ht="15.75" hidden="1" customHeight="1" x14ac:dyDescent="0.2">
      <c r="B9" s="179">
        <v>2</v>
      </c>
      <c r="C9" s="187">
        <f t="shared" ref="C9:C16" si="4">C8+1</f>
        <v>3</v>
      </c>
      <c r="D9" s="196">
        <f t="shared" ref="D9:D37" si="5">E8</f>
        <v>43374</v>
      </c>
      <c r="E9" s="196">
        <f t="shared" ref="E9:E37" si="6">DATE(YEAR(D9),MONTH(D9)+6,DAY(D9))</f>
        <v>43556</v>
      </c>
      <c r="F9" s="187">
        <f t="shared" ref="F9:F37" si="7">F8+0.5</f>
        <v>1</v>
      </c>
      <c r="G9" s="187">
        <f t="shared" si="2"/>
        <v>182</v>
      </c>
      <c r="H9" s="189">
        <f>'[2]Co cau+Tiendo'!F6</f>
        <v>2345403.3944427199</v>
      </c>
      <c r="I9" s="189">
        <f t="shared" si="3"/>
        <v>2345403.3944427199</v>
      </c>
      <c r="J9" s="190">
        <v>0</v>
      </c>
      <c r="K9" s="191">
        <f t="shared" ref="K9:K16" si="8">K8</f>
        <v>0.02</v>
      </c>
      <c r="L9" s="192"/>
      <c r="M9" s="192"/>
      <c r="N9" s="192"/>
      <c r="O9" s="192"/>
      <c r="P9" s="192"/>
      <c r="Q9" s="192"/>
      <c r="R9" s="192"/>
      <c r="S9" s="192">
        <f t="shared" si="0"/>
        <v>23389.776317182193</v>
      </c>
      <c r="T9" s="192"/>
      <c r="U9" s="192"/>
      <c r="V9" s="193">
        <f t="shared" si="1"/>
        <v>0</v>
      </c>
      <c r="W9" s="193">
        <f>SUM(V9)+V10</f>
        <v>0</v>
      </c>
      <c r="X9" s="194">
        <f>W9*[2]DieuKien!$D$18/1000000000</f>
        <v>0</v>
      </c>
      <c r="Z9" s="181"/>
    </row>
    <row r="10" spans="1:30" ht="15.75" hidden="1" customHeight="1" x14ac:dyDescent="0.2">
      <c r="C10" s="187">
        <f t="shared" si="4"/>
        <v>4</v>
      </c>
      <c r="D10" s="196">
        <f t="shared" si="5"/>
        <v>43556</v>
      </c>
      <c r="E10" s="196">
        <f t="shared" si="6"/>
        <v>43739</v>
      </c>
      <c r="F10" s="187">
        <f t="shared" si="7"/>
        <v>1.5</v>
      </c>
      <c r="G10" s="187">
        <f t="shared" si="2"/>
        <v>183</v>
      </c>
      <c r="H10" s="189"/>
      <c r="I10" s="189">
        <f t="shared" si="3"/>
        <v>2368793.1707599019</v>
      </c>
      <c r="J10" s="190">
        <v>0</v>
      </c>
      <c r="K10" s="191">
        <f t="shared" si="8"/>
        <v>0.02</v>
      </c>
      <c r="L10" s="192"/>
      <c r="M10" s="192"/>
      <c r="N10" s="192"/>
      <c r="O10" s="192"/>
      <c r="P10" s="192"/>
      <c r="Q10" s="192"/>
      <c r="R10" s="192"/>
      <c r="S10" s="192">
        <f t="shared" si="0"/>
        <v>23752.830150633534</v>
      </c>
      <c r="T10" s="192"/>
      <c r="U10" s="192"/>
      <c r="V10" s="193">
        <f t="shared" si="1"/>
        <v>0</v>
      </c>
      <c r="W10" s="187"/>
      <c r="X10" s="195"/>
    </row>
    <row r="11" spans="1:30" ht="15.75" hidden="1" customHeight="1" x14ac:dyDescent="0.2">
      <c r="B11" s="179">
        <v>3</v>
      </c>
      <c r="C11" s="187">
        <f t="shared" si="4"/>
        <v>5</v>
      </c>
      <c r="D11" s="196">
        <f t="shared" si="5"/>
        <v>43739</v>
      </c>
      <c r="E11" s="196">
        <f t="shared" si="6"/>
        <v>43922</v>
      </c>
      <c r="F11" s="187">
        <f t="shared" si="7"/>
        <v>2</v>
      </c>
      <c r="G11" s="187">
        <f t="shared" si="2"/>
        <v>183</v>
      </c>
      <c r="H11" s="189">
        <f>'[2]Co cau+Tiendo'!G6</f>
        <v>6961284.4214534154</v>
      </c>
      <c r="I11" s="189">
        <f t="shared" si="3"/>
        <v>9353830.4223639499</v>
      </c>
      <c r="J11" s="190">
        <v>0</v>
      </c>
      <c r="K11" s="191">
        <f t="shared" si="8"/>
        <v>0.02</v>
      </c>
      <c r="L11" s="192"/>
      <c r="M11" s="192"/>
      <c r="N11" s="192"/>
      <c r="O11" s="192"/>
      <c r="P11" s="192"/>
      <c r="Q11" s="192"/>
      <c r="R11" s="192"/>
      <c r="S11" s="192">
        <f t="shared" si="0"/>
        <v>93794.573550279601</v>
      </c>
      <c r="T11" s="192"/>
      <c r="U11" s="192"/>
      <c r="V11" s="193">
        <f t="shared" si="1"/>
        <v>0</v>
      </c>
      <c r="W11" s="193">
        <f>SUM(V11)+V12</f>
        <v>0</v>
      </c>
      <c r="X11" s="194">
        <f>W11*[2]DieuKien!$D$18/1000000000</f>
        <v>0</v>
      </c>
      <c r="Z11" s="181"/>
    </row>
    <row r="12" spans="1:30" ht="15.75" hidden="1" customHeight="1" x14ac:dyDescent="0.2">
      <c r="C12" s="187">
        <f t="shared" si="4"/>
        <v>6</v>
      </c>
      <c r="D12" s="196">
        <f t="shared" si="5"/>
        <v>43922</v>
      </c>
      <c r="E12" s="196">
        <f t="shared" si="6"/>
        <v>44105</v>
      </c>
      <c r="F12" s="187">
        <f t="shared" si="7"/>
        <v>2.5</v>
      </c>
      <c r="G12" s="187">
        <f t="shared" si="2"/>
        <v>183</v>
      </c>
      <c r="H12" s="189"/>
      <c r="I12" s="189">
        <f t="shared" si="3"/>
        <v>9447624.9959142301</v>
      </c>
      <c r="J12" s="190">
        <v>0</v>
      </c>
      <c r="K12" s="191">
        <f t="shared" si="8"/>
        <v>0.02</v>
      </c>
      <c r="L12" s="192"/>
      <c r="M12" s="192"/>
      <c r="N12" s="192"/>
      <c r="O12" s="192"/>
      <c r="P12" s="192"/>
      <c r="Q12" s="192"/>
      <c r="R12" s="192"/>
      <c r="S12" s="192">
        <f t="shared" si="0"/>
        <v>94735.089000126245</v>
      </c>
      <c r="T12" s="192"/>
      <c r="U12" s="192"/>
      <c r="V12" s="193">
        <f t="shared" si="1"/>
        <v>0</v>
      </c>
      <c r="W12" s="187"/>
      <c r="X12" s="195"/>
    </row>
    <row r="13" spans="1:30" ht="15.75" hidden="1" customHeight="1" x14ac:dyDescent="0.2">
      <c r="B13" s="179">
        <v>4</v>
      </c>
      <c r="C13" s="187">
        <f t="shared" si="4"/>
        <v>7</v>
      </c>
      <c r="D13" s="196">
        <f t="shared" si="5"/>
        <v>44105</v>
      </c>
      <c r="E13" s="196">
        <f t="shared" si="6"/>
        <v>44287</v>
      </c>
      <c r="F13" s="187">
        <f t="shared" si="7"/>
        <v>3</v>
      </c>
      <c r="G13" s="187">
        <f t="shared" si="2"/>
        <v>182</v>
      </c>
      <c r="H13" s="189">
        <f>'[2]Co cau+Tiendo'!H6</f>
        <v>6986259.675411663</v>
      </c>
      <c r="I13" s="189">
        <f t="shared" si="3"/>
        <v>16528619.76032602</v>
      </c>
      <c r="J13" s="190">
        <v>0</v>
      </c>
      <c r="K13" s="191">
        <f t="shared" si="8"/>
        <v>0.02</v>
      </c>
      <c r="L13" s="192"/>
      <c r="M13" s="192"/>
      <c r="N13" s="192"/>
      <c r="O13" s="192"/>
      <c r="P13" s="192"/>
      <c r="Q13" s="192"/>
      <c r="R13" s="192"/>
      <c r="S13" s="192">
        <f t="shared" si="0"/>
        <v>164833.35870571702</v>
      </c>
      <c r="T13" s="192"/>
      <c r="U13" s="192"/>
      <c r="V13" s="193">
        <f t="shared" si="1"/>
        <v>0</v>
      </c>
      <c r="W13" s="193">
        <f>SUM(V13)+V14</f>
        <v>0</v>
      </c>
      <c r="X13" s="194">
        <f>W13*[2]DieuKien!$D$18/1000000000</f>
        <v>0</v>
      </c>
      <c r="Z13" s="181"/>
    </row>
    <row r="14" spans="1:30" ht="15.75" hidden="1" customHeight="1" x14ac:dyDescent="0.2">
      <c r="C14" s="187">
        <f t="shared" si="4"/>
        <v>8</v>
      </c>
      <c r="D14" s="196">
        <f t="shared" si="5"/>
        <v>44287</v>
      </c>
      <c r="E14" s="196">
        <f t="shared" si="6"/>
        <v>44470</v>
      </c>
      <c r="F14" s="187">
        <f t="shared" si="7"/>
        <v>3.5</v>
      </c>
      <c r="G14" s="187">
        <f t="shared" si="2"/>
        <v>183</v>
      </c>
      <c r="H14" s="189"/>
      <c r="I14" s="189">
        <f t="shared" si="3"/>
        <v>16693453.119031737</v>
      </c>
      <c r="J14" s="190">
        <v>0</v>
      </c>
      <c r="K14" s="191">
        <f t="shared" si="8"/>
        <v>0.02</v>
      </c>
      <c r="L14" s="192"/>
      <c r="M14" s="192"/>
      <c r="N14" s="192"/>
      <c r="O14" s="192"/>
      <c r="P14" s="192"/>
      <c r="Q14" s="192"/>
      <c r="R14" s="192"/>
      <c r="S14" s="192">
        <f t="shared" si="0"/>
        <v>167391.88607029081</v>
      </c>
      <c r="T14" s="192"/>
      <c r="U14" s="192"/>
      <c r="V14" s="193">
        <f t="shared" si="1"/>
        <v>0</v>
      </c>
      <c r="W14" s="187"/>
      <c r="X14" s="195"/>
    </row>
    <row r="15" spans="1:30" ht="15.75" hidden="1" customHeight="1" x14ac:dyDescent="0.2">
      <c r="B15" s="179">
        <v>5</v>
      </c>
      <c r="C15" s="187">
        <f t="shared" si="4"/>
        <v>9</v>
      </c>
      <c r="D15" s="196">
        <f t="shared" si="5"/>
        <v>44470</v>
      </c>
      <c r="E15" s="196">
        <f t="shared" si="6"/>
        <v>44652</v>
      </c>
      <c r="F15" s="187">
        <f t="shared" si="7"/>
        <v>4</v>
      </c>
      <c r="G15" s="187">
        <f t="shared" si="2"/>
        <v>182</v>
      </c>
      <c r="H15" s="189">
        <f>'[2]Co cau+Tiendo'!I6</f>
        <v>6911333.9135369202</v>
      </c>
      <c r="I15" s="189">
        <f t="shared" si="3"/>
        <v>23772178.918638948</v>
      </c>
      <c r="J15" s="190">
        <v>0</v>
      </c>
      <c r="K15" s="191">
        <f t="shared" si="8"/>
        <v>0.02</v>
      </c>
      <c r="L15" s="192"/>
      <c r="M15" s="192"/>
      <c r="N15" s="192"/>
      <c r="O15" s="192"/>
      <c r="P15" s="192"/>
      <c r="Q15" s="192"/>
      <c r="R15" s="192"/>
      <c r="S15" s="192">
        <f t="shared" si="0"/>
        <v>237070.49661327607</v>
      </c>
      <c r="T15" s="192"/>
      <c r="U15" s="192"/>
      <c r="V15" s="193">
        <f t="shared" si="1"/>
        <v>0</v>
      </c>
      <c r="W15" s="193">
        <f>SUM(V15)+V16</f>
        <v>0</v>
      </c>
      <c r="X15" s="194">
        <f>W15*[2]DieuKien!$D$18/1000000000</f>
        <v>0</v>
      </c>
      <c r="Z15" s="181"/>
    </row>
    <row r="16" spans="1:30" ht="15.75" hidden="1" customHeight="1" x14ac:dyDescent="0.2">
      <c r="C16" s="187">
        <f t="shared" si="4"/>
        <v>10</v>
      </c>
      <c r="D16" s="196">
        <f t="shared" si="5"/>
        <v>44652</v>
      </c>
      <c r="E16" s="196">
        <f t="shared" si="6"/>
        <v>44835</v>
      </c>
      <c r="F16" s="187">
        <f t="shared" si="7"/>
        <v>4.5</v>
      </c>
      <c r="G16" s="187">
        <f t="shared" si="2"/>
        <v>183</v>
      </c>
      <c r="H16" s="189"/>
      <c r="I16" s="189">
        <f t="shared" si="3"/>
        <v>24009249.415252224</v>
      </c>
      <c r="J16" s="190">
        <v>0</v>
      </c>
      <c r="K16" s="191">
        <f t="shared" si="8"/>
        <v>0.02</v>
      </c>
      <c r="L16" s="192"/>
      <c r="M16" s="192"/>
      <c r="N16" s="192"/>
      <c r="O16" s="192"/>
      <c r="P16" s="192"/>
      <c r="Q16" s="192"/>
      <c r="R16" s="192"/>
      <c r="S16" s="192">
        <f t="shared" si="0"/>
        <v>240750.28180773463</v>
      </c>
      <c r="T16" s="192"/>
      <c r="U16" s="192"/>
      <c r="V16" s="193">
        <f t="shared" si="1"/>
        <v>0</v>
      </c>
      <c r="W16" s="187"/>
      <c r="X16" s="195"/>
    </row>
    <row r="17" spans="1:26" ht="14" hidden="1" customHeight="1" x14ac:dyDescent="0.2">
      <c r="C17" s="211" t="s">
        <v>3</v>
      </c>
      <c r="D17" s="205" t="s">
        <v>33</v>
      </c>
      <c r="E17" s="206"/>
      <c r="F17" s="207"/>
      <c r="G17" s="207"/>
      <c r="H17" s="207"/>
      <c r="I17" s="207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208"/>
      <c r="V17" s="207"/>
      <c r="W17" s="211"/>
      <c r="X17" s="211"/>
      <c r="Z17" s="181"/>
    </row>
    <row r="18" spans="1:26" x14ac:dyDescent="0.2">
      <c r="A18" s="179">
        <v>1</v>
      </c>
      <c r="B18" s="179">
        <v>6</v>
      </c>
      <c r="C18" s="187">
        <v>1</v>
      </c>
      <c r="D18" s="196">
        <f>E16</f>
        <v>44835</v>
      </c>
      <c r="E18" s="196">
        <f t="shared" si="6"/>
        <v>45017</v>
      </c>
      <c r="F18" s="187">
        <f>F16+0.5</f>
        <v>5</v>
      </c>
      <c r="G18" s="187">
        <f t="shared" si="2"/>
        <v>182</v>
      </c>
      <c r="H18" s="189"/>
      <c r="I18" s="197">
        <f>I16-L16+S16</f>
        <v>24249999.697059959</v>
      </c>
      <c r="J18" s="190">
        <f t="shared" ref="J18:J37" si="9">ROUND(100%/20,4)</f>
        <v>0.05</v>
      </c>
      <c r="K18" s="191">
        <f>K16</f>
        <v>0.02</v>
      </c>
      <c r="L18" s="198">
        <f t="shared" ref="L18:L37" si="10">$I$18*J18</f>
        <v>1212499.9848529981</v>
      </c>
      <c r="M18" s="198">
        <f t="shared" ref="M18:M37" si="11">Q18+T18</f>
        <v>290867.11965405074</v>
      </c>
      <c r="N18" s="198">
        <f>Q18</f>
        <v>242499.99697059963</v>
      </c>
      <c r="O18" s="198">
        <f>T18</f>
        <v>48367.122683451104</v>
      </c>
      <c r="P18" s="198">
        <v>48367</v>
      </c>
      <c r="Q18" s="198">
        <f t="shared" ref="Q18:Q37" si="12">L18*20%</f>
        <v>242499.99697059963</v>
      </c>
      <c r="R18" s="198">
        <f t="shared" ref="R18:R37" si="13">L18-Q18</f>
        <v>969999.98788239842</v>
      </c>
      <c r="S18" s="198">
        <f t="shared" si="0"/>
        <v>241835.61341725552</v>
      </c>
      <c r="T18" s="198">
        <f t="shared" ref="T18:T37" si="14">S18*20%</f>
        <v>48367.122683451104</v>
      </c>
      <c r="U18" s="198">
        <f t="shared" ref="U18:U37" si="15">S18-T18</f>
        <v>193468.49073380441</v>
      </c>
      <c r="V18" s="193">
        <f t="shared" ref="V18:V37" si="16">L18+S18</f>
        <v>1454335.5982702535</v>
      </c>
      <c r="W18" s="193">
        <f>SUM(V18)+V19</f>
        <v>2897841.7446209984</v>
      </c>
      <c r="X18" s="199">
        <f>(Q18+T18+T19+Q19)*22300/10^6</f>
        <v>12924.374181009653</v>
      </c>
    </row>
    <row r="19" spans="1:26" x14ac:dyDescent="0.2">
      <c r="A19" s="179">
        <v>2</v>
      </c>
      <c r="C19" s="187">
        <v>2</v>
      </c>
      <c r="D19" s="196">
        <f t="shared" si="5"/>
        <v>45017</v>
      </c>
      <c r="E19" s="196">
        <f t="shared" si="6"/>
        <v>45200</v>
      </c>
      <c r="F19" s="187">
        <f t="shared" si="7"/>
        <v>5.5</v>
      </c>
      <c r="G19" s="187">
        <f t="shared" si="2"/>
        <v>183</v>
      </c>
      <c r="H19" s="187"/>
      <c r="I19" s="198">
        <f t="shared" ref="I19:I37" si="17">I18-L18</f>
        <v>23037499.71220696</v>
      </c>
      <c r="J19" s="190">
        <f t="shared" si="9"/>
        <v>0.05</v>
      </c>
      <c r="K19" s="191">
        <f>K18</f>
        <v>0.02</v>
      </c>
      <c r="L19" s="198">
        <f t="shared" si="10"/>
        <v>1212499.9848529981</v>
      </c>
      <c r="M19" s="198">
        <f t="shared" si="11"/>
        <v>288701.22927014891</v>
      </c>
      <c r="N19" s="198">
        <v>242500</v>
      </c>
      <c r="O19" s="198">
        <f>T19+T20</f>
        <v>89970.820793859166</v>
      </c>
      <c r="P19" s="198">
        <v>93618</v>
      </c>
      <c r="Q19" s="198">
        <f t="shared" si="12"/>
        <v>242499.99697059963</v>
      </c>
      <c r="R19" s="198">
        <f t="shared" si="13"/>
        <v>969999.98788239842</v>
      </c>
      <c r="S19" s="198">
        <f t="shared" si="0"/>
        <v>231006.16149774651</v>
      </c>
      <c r="T19" s="198">
        <f t="shared" si="14"/>
        <v>46201.232299549301</v>
      </c>
      <c r="U19" s="198">
        <f t="shared" si="15"/>
        <v>184804.92919819721</v>
      </c>
      <c r="V19" s="193">
        <f t="shared" si="16"/>
        <v>1443506.1463507446</v>
      </c>
      <c r="W19" s="187"/>
      <c r="X19" s="199">
        <f>W19*[2]DieuKien!$D$18/10^6</f>
        <v>0</v>
      </c>
    </row>
    <row r="20" spans="1:26" x14ac:dyDescent="0.2">
      <c r="A20" s="179">
        <v>3</v>
      </c>
      <c r="B20" s="179">
        <v>7</v>
      </c>
      <c r="C20" s="187">
        <v>3</v>
      </c>
      <c r="D20" s="196">
        <f t="shared" si="5"/>
        <v>45200</v>
      </c>
      <c r="E20" s="196">
        <f t="shared" si="6"/>
        <v>45383</v>
      </c>
      <c r="F20" s="187">
        <f t="shared" si="7"/>
        <v>6</v>
      </c>
      <c r="G20" s="187">
        <f t="shared" si="2"/>
        <v>183</v>
      </c>
      <c r="H20" s="187"/>
      <c r="I20" s="198">
        <f t="shared" si="17"/>
        <v>21824999.72735396</v>
      </c>
      <c r="J20" s="190">
        <f t="shared" si="9"/>
        <v>0.05</v>
      </c>
      <c r="K20" s="191">
        <f t="shared" ref="K20:K37" si="18">K19</f>
        <v>0.02</v>
      </c>
      <c r="L20" s="198">
        <f t="shared" si="10"/>
        <v>1212499.9848529981</v>
      </c>
      <c r="M20" s="198">
        <f t="shared" si="11"/>
        <v>286269.5854649095</v>
      </c>
      <c r="N20" s="198"/>
      <c r="O20" s="198"/>
      <c r="P20" s="198"/>
      <c r="Q20" s="198">
        <f t="shared" si="12"/>
        <v>242499.99697059963</v>
      </c>
      <c r="R20" s="198">
        <f t="shared" si="13"/>
        <v>969999.98788239842</v>
      </c>
      <c r="S20" s="198">
        <f t="shared" si="0"/>
        <v>218847.94247154929</v>
      </c>
      <c r="T20" s="198">
        <f t="shared" si="14"/>
        <v>43769.588494309864</v>
      </c>
      <c r="U20" s="198">
        <f t="shared" si="15"/>
        <v>175078.35397723943</v>
      </c>
      <c r="V20" s="193">
        <f t="shared" si="16"/>
        <v>1431347.9273245474</v>
      </c>
      <c r="W20" s="193">
        <f>SUM(V20)+V21</f>
        <v>2850537.6356228977</v>
      </c>
      <c r="X20" s="199">
        <f>(Q20+T20+T21+Q21)*22300/10^6</f>
        <v>12713.397854878125</v>
      </c>
    </row>
    <row r="21" spans="1:26" x14ac:dyDescent="0.2">
      <c r="A21" s="179">
        <v>4</v>
      </c>
      <c r="C21" s="187">
        <v>4</v>
      </c>
      <c r="D21" s="196">
        <f t="shared" si="5"/>
        <v>45383</v>
      </c>
      <c r="E21" s="196">
        <f t="shared" si="6"/>
        <v>45566</v>
      </c>
      <c r="F21" s="187">
        <f t="shared" si="7"/>
        <v>6.5</v>
      </c>
      <c r="G21" s="187">
        <f t="shared" si="2"/>
        <v>183</v>
      </c>
      <c r="H21" s="187"/>
      <c r="I21" s="198">
        <f t="shared" si="17"/>
        <v>20612499.742500961</v>
      </c>
      <c r="J21" s="190">
        <f t="shared" si="9"/>
        <v>0.05</v>
      </c>
      <c r="K21" s="191">
        <f t="shared" si="18"/>
        <v>0.02</v>
      </c>
      <c r="L21" s="198">
        <f t="shared" si="10"/>
        <v>1212499.9848529981</v>
      </c>
      <c r="M21" s="198">
        <f t="shared" si="11"/>
        <v>283837.94165967009</v>
      </c>
      <c r="N21" s="198">
        <v>242500</v>
      </c>
      <c r="O21" s="198">
        <f>T21+T22</f>
        <v>80031.642835831299</v>
      </c>
      <c r="P21" s="198">
        <v>88516</v>
      </c>
      <c r="Q21" s="198">
        <f t="shared" si="12"/>
        <v>242499.99697059963</v>
      </c>
      <c r="R21" s="198">
        <f t="shared" si="13"/>
        <v>969999.98788239842</v>
      </c>
      <c r="S21" s="198">
        <f t="shared" si="0"/>
        <v>206689.72344535211</v>
      </c>
      <c r="T21" s="198">
        <f t="shared" si="14"/>
        <v>41337.944689070428</v>
      </c>
      <c r="U21" s="198">
        <f t="shared" si="15"/>
        <v>165351.77875628168</v>
      </c>
      <c r="V21" s="193">
        <f t="shared" si="16"/>
        <v>1419189.7082983502</v>
      </c>
      <c r="W21" s="187"/>
      <c r="X21" s="199">
        <f>W21*[2]DieuKien!$D$18/10^6</f>
        <v>0</v>
      </c>
    </row>
    <row r="22" spans="1:26" x14ac:dyDescent="0.2">
      <c r="A22" s="179">
        <v>5</v>
      </c>
      <c r="B22" s="179">
        <v>8</v>
      </c>
      <c r="C22" s="187">
        <v>5</v>
      </c>
      <c r="D22" s="196">
        <f t="shared" si="5"/>
        <v>45566</v>
      </c>
      <c r="E22" s="196">
        <f t="shared" si="6"/>
        <v>45748</v>
      </c>
      <c r="F22" s="187">
        <f t="shared" si="7"/>
        <v>7</v>
      </c>
      <c r="G22" s="187">
        <f t="shared" si="2"/>
        <v>182</v>
      </c>
      <c r="H22" s="187"/>
      <c r="I22" s="198">
        <f t="shared" si="17"/>
        <v>19399999.757647961</v>
      </c>
      <c r="J22" s="190">
        <f t="shared" si="9"/>
        <v>0.05</v>
      </c>
      <c r="K22" s="191">
        <f t="shared" si="18"/>
        <v>0.02</v>
      </c>
      <c r="L22" s="198">
        <f t="shared" si="10"/>
        <v>1212499.9848529981</v>
      </c>
      <c r="M22" s="198">
        <f t="shared" si="11"/>
        <v>281193.6951173605</v>
      </c>
      <c r="N22" s="198"/>
      <c r="O22" s="198"/>
      <c r="P22" s="198"/>
      <c r="Q22" s="198">
        <f t="shared" si="12"/>
        <v>242499.99697059963</v>
      </c>
      <c r="R22" s="198">
        <f t="shared" si="13"/>
        <v>969999.98788239842</v>
      </c>
      <c r="S22" s="198">
        <f t="shared" si="0"/>
        <v>193468.49073380433</v>
      </c>
      <c r="T22" s="198">
        <f t="shared" si="14"/>
        <v>38693.698146760864</v>
      </c>
      <c r="U22" s="198">
        <f t="shared" si="15"/>
        <v>154774.79258704346</v>
      </c>
      <c r="V22" s="193">
        <f t="shared" si="16"/>
        <v>1405968.4755868025</v>
      </c>
      <c r="W22" s="193">
        <f>SUM(V22)+V23</f>
        <v>2800841.745832758</v>
      </c>
      <c r="X22" s="199">
        <f>(Q22+T22+T23+Q23)*22300/10^6</f>
        <v>12491.7541864141</v>
      </c>
    </row>
    <row r="23" spans="1:26" x14ac:dyDescent="0.2">
      <c r="A23" s="179">
        <v>6</v>
      </c>
      <c r="C23" s="187">
        <v>6</v>
      </c>
      <c r="D23" s="196">
        <f t="shared" si="5"/>
        <v>45748</v>
      </c>
      <c r="E23" s="196">
        <f t="shared" si="6"/>
        <v>45931</v>
      </c>
      <c r="F23" s="187">
        <f t="shared" si="7"/>
        <v>7.5</v>
      </c>
      <c r="G23" s="187">
        <f t="shared" si="2"/>
        <v>183</v>
      </c>
      <c r="H23" s="187"/>
      <c r="I23" s="198">
        <f t="shared" si="17"/>
        <v>18187499.772794962</v>
      </c>
      <c r="J23" s="190">
        <f t="shared" si="9"/>
        <v>0.05</v>
      </c>
      <c r="K23" s="191">
        <f t="shared" si="18"/>
        <v>0.02</v>
      </c>
      <c r="L23" s="198">
        <f t="shared" si="10"/>
        <v>1212499.9848529981</v>
      </c>
      <c r="M23" s="198">
        <f t="shared" si="11"/>
        <v>278974.65404919116</v>
      </c>
      <c r="N23" s="198">
        <v>242500</v>
      </c>
      <c r="O23" s="198">
        <f>T23+T24</f>
        <v>70331.64295700728</v>
      </c>
      <c r="P23" s="198">
        <v>83666</v>
      </c>
      <c r="Q23" s="198">
        <f t="shared" si="12"/>
        <v>242499.99697059963</v>
      </c>
      <c r="R23" s="198">
        <f t="shared" si="13"/>
        <v>969999.98788239842</v>
      </c>
      <c r="S23" s="198">
        <f t="shared" si="0"/>
        <v>182373.28539295768</v>
      </c>
      <c r="T23" s="198">
        <f t="shared" si="14"/>
        <v>36474.657078591539</v>
      </c>
      <c r="U23" s="198">
        <f t="shared" si="15"/>
        <v>145898.62831436616</v>
      </c>
      <c r="V23" s="193">
        <f t="shared" si="16"/>
        <v>1394873.2702459558</v>
      </c>
      <c r="W23" s="187"/>
      <c r="X23" s="199">
        <f>W23*[2]DieuKien!$D$18/10^6</f>
        <v>0</v>
      </c>
    </row>
    <row r="24" spans="1:26" x14ac:dyDescent="0.2">
      <c r="A24" s="179">
        <v>7</v>
      </c>
      <c r="B24" s="179">
        <v>9</v>
      </c>
      <c r="C24" s="187">
        <v>7</v>
      </c>
      <c r="D24" s="196">
        <f t="shared" si="5"/>
        <v>45931</v>
      </c>
      <c r="E24" s="196">
        <f t="shared" si="6"/>
        <v>46113</v>
      </c>
      <c r="F24" s="187">
        <f t="shared" si="7"/>
        <v>8</v>
      </c>
      <c r="G24" s="187">
        <f t="shared" si="2"/>
        <v>182</v>
      </c>
      <c r="H24" s="187"/>
      <c r="I24" s="198">
        <f t="shared" si="17"/>
        <v>16974999.787941962</v>
      </c>
      <c r="J24" s="190">
        <f t="shared" si="9"/>
        <v>0.05</v>
      </c>
      <c r="K24" s="191">
        <f t="shared" si="18"/>
        <v>0.02</v>
      </c>
      <c r="L24" s="198">
        <f t="shared" si="10"/>
        <v>1212499.9848529981</v>
      </c>
      <c r="M24" s="198">
        <f t="shared" si="11"/>
        <v>276356.98284901539</v>
      </c>
      <c r="N24" s="198"/>
      <c r="O24" s="198"/>
      <c r="P24" s="198"/>
      <c r="Q24" s="198">
        <f t="shared" si="12"/>
        <v>242499.99697059963</v>
      </c>
      <c r="R24" s="198">
        <f t="shared" si="13"/>
        <v>969999.98788239842</v>
      </c>
      <c r="S24" s="198">
        <f t="shared" si="0"/>
        <v>169284.92939207875</v>
      </c>
      <c r="T24" s="198">
        <f t="shared" si="14"/>
        <v>33856.985878415748</v>
      </c>
      <c r="U24" s="198">
        <f t="shared" si="15"/>
        <v>135427.94351366299</v>
      </c>
      <c r="V24" s="193">
        <f t="shared" si="16"/>
        <v>1381784.9142450767</v>
      </c>
      <c r="W24" s="193">
        <f>SUM(V24)+V25</f>
        <v>2752341.7464386383</v>
      </c>
      <c r="X24" s="199">
        <f>(Q24+T24+T25+Q25)*22300/10^6</f>
        <v>12275.444189116326</v>
      </c>
    </row>
    <row r="25" spans="1:26" x14ac:dyDescent="0.2">
      <c r="A25" s="179">
        <v>8</v>
      </c>
      <c r="C25" s="187">
        <v>8</v>
      </c>
      <c r="D25" s="196">
        <f t="shared" si="5"/>
        <v>46113</v>
      </c>
      <c r="E25" s="196">
        <f t="shared" si="6"/>
        <v>46296</v>
      </c>
      <c r="F25" s="187">
        <f t="shared" si="7"/>
        <v>8.5</v>
      </c>
      <c r="G25" s="187">
        <f t="shared" si="2"/>
        <v>183</v>
      </c>
      <c r="H25" s="187"/>
      <c r="I25" s="198">
        <f t="shared" si="17"/>
        <v>15762499.803088965</v>
      </c>
      <c r="J25" s="190">
        <f t="shared" si="9"/>
        <v>0.05</v>
      </c>
      <c r="K25" s="191">
        <f t="shared" si="18"/>
        <v>0.02</v>
      </c>
      <c r="L25" s="198">
        <f t="shared" si="10"/>
        <v>1212499.9848529981</v>
      </c>
      <c r="M25" s="198">
        <f t="shared" si="11"/>
        <v>274111.36643871228</v>
      </c>
      <c r="N25" s="198">
        <v>242500</v>
      </c>
      <c r="O25" s="198">
        <f>T25+T26</f>
        <v>60631.643078183304</v>
      </c>
      <c r="P25" s="198">
        <v>78816</v>
      </c>
      <c r="Q25" s="198">
        <f t="shared" si="12"/>
        <v>242499.99697059963</v>
      </c>
      <c r="R25" s="198">
        <f t="shared" si="13"/>
        <v>969999.98788239842</v>
      </c>
      <c r="S25" s="198">
        <f t="shared" si="0"/>
        <v>158056.84734056334</v>
      </c>
      <c r="T25" s="198">
        <f t="shared" si="14"/>
        <v>31611.369468112669</v>
      </c>
      <c r="U25" s="198">
        <f t="shared" si="15"/>
        <v>126445.47787245068</v>
      </c>
      <c r="V25" s="193">
        <f t="shared" si="16"/>
        <v>1370556.8321935614</v>
      </c>
      <c r="W25" s="187"/>
      <c r="X25" s="199">
        <f>W25*[2]DieuKien!$D$18/10^6</f>
        <v>0</v>
      </c>
    </row>
    <row r="26" spans="1:26" x14ac:dyDescent="0.2">
      <c r="A26" s="179">
        <v>9</v>
      </c>
      <c r="B26" s="179">
        <v>10</v>
      </c>
      <c r="C26" s="187">
        <v>9</v>
      </c>
      <c r="D26" s="196">
        <f t="shared" si="5"/>
        <v>46296</v>
      </c>
      <c r="E26" s="196">
        <f t="shared" si="6"/>
        <v>46478</v>
      </c>
      <c r="F26" s="187">
        <f t="shared" si="7"/>
        <v>9</v>
      </c>
      <c r="G26" s="187">
        <f t="shared" si="2"/>
        <v>182</v>
      </c>
      <c r="H26" s="187"/>
      <c r="I26" s="198">
        <f t="shared" si="17"/>
        <v>14549999.818235967</v>
      </c>
      <c r="J26" s="190">
        <f t="shared" si="9"/>
        <v>0.05</v>
      </c>
      <c r="K26" s="191">
        <f t="shared" si="18"/>
        <v>0.02</v>
      </c>
      <c r="L26" s="198">
        <f t="shared" si="10"/>
        <v>1212499.9848529981</v>
      </c>
      <c r="M26" s="198">
        <f t="shared" si="11"/>
        <v>271520.27058067027</v>
      </c>
      <c r="N26" s="198"/>
      <c r="O26" s="198"/>
      <c r="P26" s="198"/>
      <c r="Q26" s="198">
        <f t="shared" si="12"/>
        <v>242499.99697059963</v>
      </c>
      <c r="R26" s="198">
        <f t="shared" si="13"/>
        <v>969999.98788239842</v>
      </c>
      <c r="S26" s="198">
        <f t="shared" si="0"/>
        <v>145101.36805035319</v>
      </c>
      <c r="T26" s="198">
        <f t="shared" si="14"/>
        <v>29020.273610070639</v>
      </c>
      <c r="U26" s="198">
        <f t="shared" si="15"/>
        <v>116081.09444028256</v>
      </c>
      <c r="V26" s="193">
        <f t="shared" si="16"/>
        <v>1357601.3529033512</v>
      </c>
      <c r="W26" s="193">
        <f>SUM(V26)+V27</f>
        <v>2703841.7470445181</v>
      </c>
      <c r="X26" s="199">
        <f>(Q26+T26+T27+Q27)*22300/10^6</f>
        <v>12059.13419181855</v>
      </c>
    </row>
    <row r="27" spans="1:26" x14ac:dyDescent="0.2">
      <c r="A27" s="179">
        <v>10</v>
      </c>
      <c r="C27" s="187">
        <v>10</v>
      </c>
      <c r="D27" s="196">
        <f t="shared" si="5"/>
        <v>46478</v>
      </c>
      <c r="E27" s="196">
        <f t="shared" si="6"/>
        <v>46661</v>
      </c>
      <c r="F27" s="187">
        <f t="shared" si="7"/>
        <v>9.5</v>
      </c>
      <c r="G27" s="187">
        <f t="shared" si="2"/>
        <v>183</v>
      </c>
      <c r="H27" s="187"/>
      <c r="I27" s="198">
        <f t="shared" si="17"/>
        <v>13337499.83338297</v>
      </c>
      <c r="J27" s="190">
        <f t="shared" si="9"/>
        <v>0.05</v>
      </c>
      <c r="K27" s="191">
        <f t="shared" si="18"/>
        <v>0.02</v>
      </c>
      <c r="L27" s="198">
        <f t="shared" si="10"/>
        <v>1212499.9848529981</v>
      </c>
      <c r="M27" s="198">
        <f t="shared" si="11"/>
        <v>269248.07882823341</v>
      </c>
      <c r="N27" s="198">
        <v>242500</v>
      </c>
      <c r="O27" s="198">
        <f>T27+T28</f>
        <v>51064.519910028146</v>
      </c>
      <c r="P27" s="198">
        <v>74165</v>
      </c>
      <c r="Q27" s="198">
        <f t="shared" si="12"/>
        <v>242499.99697059963</v>
      </c>
      <c r="R27" s="198">
        <f t="shared" si="13"/>
        <v>969999.98788239842</v>
      </c>
      <c r="S27" s="198">
        <f t="shared" si="0"/>
        <v>133740.40928816894</v>
      </c>
      <c r="T27" s="198">
        <f t="shared" si="14"/>
        <v>26748.081857633792</v>
      </c>
      <c r="U27" s="198">
        <f t="shared" si="15"/>
        <v>106992.32743053515</v>
      </c>
      <c r="V27" s="193">
        <f t="shared" si="16"/>
        <v>1346240.3941411669</v>
      </c>
      <c r="W27" s="187"/>
      <c r="X27" s="199">
        <f>W27*[2]DieuKien!$D$18/10^6</f>
        <v>0</v>
      </c>
    </row>
    <row r="28" spans="1:26" x14ac:dyDescent="0.2">
      <c r="A28" s="179">
        <v>11</v>
      </c>
      <c r="B28" s="179">
        <v>11</v>
      </c>
      <c r="C28" s="187">
        <v>11</v>
      </c>
      <c r="D28" s="196">
        <f t="shared" si="5"/>
        <v>46661</v>
      </c>
      <c r="E28" s="196">
        <f t="shared" si="6"/>
        <v>46844</v>
      </c>
      <c r="F28" s="187">
        <f t="shared" si="7"/>
        <v>10</v>
      </c>
      <c r="G28" s="187">
        <f t="shared" si="2"/>
        <v>183</v>
      </c>
      <c r="H28" s="187"/>
      <c r="I28" s="198">
        <f t="shared" si="17"/>
        <v>12124999.848529972</v>
      </c>
      <c r="J28" s="190">
        <f t="shared" si="9"/>
        <v>0.05</v>
      </c>
      <c r="K28" s="191">
        <f t="shared" si="18"/>
        <v>0.02</v>
      </c>
      <c r="L28" s="198">
        <f t="shared" si="10"/>
        <v>1212499.9848529981</v>
      </c>
      <c r="M28" s="198">
        <f t="shared" si="11"/>
        <v>266816.435022994</v>
      </c>
      <c r="N28" s="198"/>
      <c r="O28" s="198"/>
      <c r="P28" s="198"/>
      <c r="Q28" s="198">
        <f t="shared" si="12"/>
        <v>242499.99697059963</v>
      </c>
      <c r="R28" s="198">
        <f t="shared" si="13"/>
        <v>969999.98788239842</v>
      </c>
      <c r="S28" s="198">
        <f t="shared" si="0"/>
        <v>121582.19026197179</v>
      </c>
      <c r="T28" s="198">
        <f t="shared" si="14"/>
        <v>24316.438052394358</v>
      </c>
      <c r="U28" s="198">
        <f t="shared" si="15"/>
        <v>97265.752209577433</v>
      </c>
      <c r="V28" s="193">
        <f t="shared" si="16"/>
        <v>1334082.1751149697</v>
      </c>
      <c r="W28" s="193">
        <f>SUM(V28)+V29</f>
        <v>2656006.1312037427</v>
      </c>
      <c r="X28" s="199">
        <f>(Q28+T28+T29+Q29)*22300/10^6</f>
        <v>11845.787345168692</v>
      </c>
    </row>
    <row r="29" spans="1:26" x14ac:dyDescent="0.2">
      <c r="A29" s="179">
        <v>12</v>
      </c>
      <c r="C29" s="187">
        <v>12</v>
      </c>
      <c r="D29" s="196">
        <f t="shared" si="5"/>
        <v>46844</v>
      </c>
      <c r="E29" s="196">
        <f t="shared" si="6"/>
        <v>47027</v>
      </c>
      <c r="F29" s="187">
        <f t="shared" si="7"/>
        <v>10.5</v>
      </c>
      <c r="G29" s="187">
        <f t="shared" si="2"/>
        <v>183</v>
      </c>
      <c r="H29" s="187"/>
      <c r="I29" s="198">
        <f t="shared" si="17"/>
        <v>10912499.863676975</v>
      </c>
      <c r="J29" s="190">
        <f t="shared" si="9"/>
        <v>0.05</v>
      </c>
      <c r="K29" s="191">
        <f t="shared" si="18"/>
        <v>0.02</v>
      </c>
      <c r="L29" s="198">
        <f t="shared" si="10"/>
        <v>1212499.9848529981</v>
      </c>
      <c r="M29" s="198">
        <f t="shared" si="11"/>
        <v>264384.79121775454</v>
      </c>
      <c r="N29" s="198">
        <v>242500</v>
      </c>
      <c r="O29" s="198">
        <f>T29+T30</f>
        <v>41231.643320535346</v>
      </c>
      <c r="P29" s="198">
        <v>69116</v>
      </c>
      <c r="Q29" s="198">
        <f t="shared" si="12"/>
        <v>242499.99697059963</v>
      </c>
      <c r="R29" s="198">
        <f t="shared" si="13"/>
        <v>969999.98788239842</v>
      </c>
      <c r="S29" s="198">
        <f t="shared" si="0"/>
        <v>109423.9712357746</v>
      </c>
      <c r="T29" s="198">
        <f t="shared" si="14"/>
        <v>21884.794247154921</v>
      </c>
      <c r="U29" s="198">
        <f t="shared" si="15"/>
        <v>87539.176988619685</v>
      </c>
      <c r="V29" s="193">
        <f t="shared" si="16"/>
        <v>1321923.9560887727</v>
      </c>
      <c r="W29" s="187"/>
      <c r="X29" s="199">
        <f>W29*[2]DieuKien!$D$18/10^6</f>
        <v>0</v>
      </c>
    </row>
    <row r="30" spans="1:26" x14ac:dyDescent="0.2">
      <c r="A30" s="179">
        <v>13</v>
      </c>
      <c r="B30" s="179">
        <v>12</v>
      </c>
      <c r="C30" s="187">
        <v>13</v>
      </c>
      <c r="D30" s="196">
        <f t="shared" si="5"/>
        <v>47027</v>
      </c>
      <c r="E30" s="196">
        <f t="shared" si="6"/>
        <v>47209</v>
      </c>
      <c r="F30" s="187">
        <f t="shared" si="7"/>
        <v>11</v>
      </c>
      <c r="G30" s="187">
        <f t="shared" si="2"/>
        <v>182</v>
      </c>
      <c r="H30" s="187"/>
      <c r="I30" s="198">
        <f t="shared" si="17"/>
        <v>9699999.878823977</v>
      </c>
      <c r="J30" s="190">
        <f t="shared" si="9"/>
        <v>0.05</v>
      </c>
      <c r="K30" s="191">
        <f t="shared" si="18"/>
        <v>0.02</v>
      </c>
      <c r="L30" s="198">
        <f t="shared" si="10"/>
        <v>1212499.9848529981</v>
      </c>
      <c r="M30" s="198">
        <f t="shared" si="11"/>
        <v>261846.84604398007</v>
      </c>
      <c r="N30" s="198"/>
      <c r="O30" s="198"/>
      <c r="P30" s="198"/>
      <c r="Q30" s="198">
        <f t="shared" si="12"/>
        <v>242499.99697059963</v>
      </c>
      <c r="R30" s="198">
        <f t="shared" si="13"/>
        <v>969999.98788239842</v>
      </c>
      <c r="S30" s="198">
        <f t="shared" si="0"/>
        <v>96734.24536690212</v>
      </c>
      <c r="T30" s="198">
        <f t="shared" si="14"/>
        <v>19346.849073380425</v>
      </c>
      <c r="U30" s="198">
        <f t="shared" si="15"/>
        <v>77387.396293521699</v>
      </c>
      <c r="V30" s="193">
        <f t="shared" si="16"/>
        <v>1309234.2302199001</v>
      </c>
      <c r="W30" s="193">
        <f>SUM(V30)+V31</f>
        <v>2606841.7482562782</v>
      </c>
      <c r="X30" s="199">
        <f>(Q30+T30+T31+Q31)*22300/10^6</f>
        <v>11626.514197223003</v>
      </c>
    </row>
    <row r="31" spans="1:26" x14ac:dyDescent="0.2">
      <c r="A31" s="179">
        <v>14</v>
      </c>
      <c r="C31" s="187">
        <v>14</v>
      </c>
      <c r="D31" s="196">
        <f t="shared" si="5"/>
        <v>47209</v>
      </c>
      <c r="E31" s="196">
        <f t="shared" si="6"/>
        <v>47392</v>
      </c>
      <c r="F31" s="187">
        <f t="shared" si="7"/>
        <v>11.5</v>
      </c>
      <c r="G31" s="187">
        <f t="shared" si="2"/>
        <v>183</v>
      </c>
      <c r="H31" s="187"/>
      <c r="I31" s="198">
        <f t="shared" si="17"/>
        <v>8487499.8939709794</v>
      </c>
      <c r="J31" s="190">
        <f t="shared" si="9"/>
        <v>0.05</v>
      </c>
      <c r="K31" s="191">
        <f t="shared" si="18"/>
        <v>0.02</v>
      </c>
      <c r="L31" s="198">
        <f t="shared" si="10"/>
        <v>1212499.9848529981</v>
      </c>
      <c r="M31" s="198">
        <f t="shared" si="11"/>
        <v>259521.50360727569</v>
      </c>
      <c r="N31" s="198">
        <v>242500</v>
      </c>
      <c r="O31" s="198">
        <f>T31+T32</f>
        <v>31531.643441711367</v>
      </c>
      <c r="P31" s="198">
        <v>64266</v>
      </c>
      <c r="Q31" s="198">
        <f t="shared" si="12"/>
        <v>242499.99697059963</v>
      </c>
      <c r="R31" s="198">
        <f t="shared" si="13"/>
        <v>969999.98788239842</v>
      </c>
      <c r="S31" s="198">
        <f t="shared" si="0"/>
        <v>85107.533183380234</v>
      </c>
      <c r="T31" s="198">
        <f t="shared" si="14"/>
        <v>17021.506636676047</v>
      </c>
      <c r="U31" s="198">
        <f t="shared" si="15"/>
        <v>68086.02654670419</v>
      </c>
      <c r="V31" s="193">
        <f t="shared" si="16"/>
        <v>1297607.5180363783</v>
      </c>
      <c r="W31" s="187"/>
      <c r="X31" s="199">
        <f>W31*[2]DieuKien!$D$18/10^6</f>
        <v>0</v>
      </c>
    </row>
    <row r="32" spans="1:26" x14ac:dyDescent="0.2">
      <c r="A32" s="179">
        <v>15</v>
      </c>
      <c r="B32" s="179">
        <v>13</v>
      </c>
      <c r="C32" s="187">
        <v>15</v>
      </c>
      <c r="D32" s="196">
        <f t="shared" si="5"/>
        <v>47392</v>
      </c>
      <c r="E32" s="196">
        <f t="shared" si="6"/>
        <v>47574</v>
      </c>
      <c r="F32" s="187">
        <f t="shared" si="7"/>
        <v>12</v>
      </c>
      <c r="G32" s="187">
        <f t="shared" si="2"/>
        <v>182</v>
      </c>
      <c r="H32" s="187"/>
      <c r="I32" s="198">
        <f t="shared" si="17"/>
        <v>7274999.9091179818</v>
      </c>
      <c r="J32" s="190">
        <f t="shared" si="9"/>
        <v>0.05</v>
      </c>
      <c r="K32" s="191">
        <f t="shared" si="18"/>
        <v>0.02</v>
      </c>
      <c r="L32" s="198">
        <f t="shared" si="10"/>
        <v>1212499.9848529981</v>
      </c>
      <c r="M32" s="198">
        <f t="shared" si="11"/>
        <v>257010.13377563495</v>
      </c>
      <c r="N32" s="198"/>
      <c r="O32" s="198"/>
      <c r="P32" s="198"/>
      <c r="Q32" s="198">
        <f t="shared" si="12"/>
        <v>242499.99697059963</v>
      </c>
      <c r="R32" s="198">
        <f t="shared" si="13"/>
        <v>969999.98788239842</v>
      </c>
      <c r="S32" s="198">
        <f t="shared" si="0"/>
        <v>72550.684025176597</v>
      </c>
      <c r="T32" s="198">
        <f t="shared" si="14"/>
        <v>14510.136805035319</v>
      </c>
      <c r="U32" s="198">
        <f t="shared" si="15"/>
        <v>58040.547220141278</v>
      </c>
      <c r="V32" s="193">
        <f t="shared" si="16"/>
        <v>1285050.6688781746</v>
      </c>
      <c r="W32" s="193">
        <f>SUM(V32)+V33</f>
        <v>2558341.7488621585</v>
      </c>
      <c r="X32" s="199">
        <f>(Q32+T32+T33+Q33)*22300/10^6</f>
        <v>11410.204199925229</v>
      </c>
    </row>
    <row r="33" spans="1:24" x14ac:dyDescent="0.2">
      <c r="A33" s="179">
        <v>16</v>
      </c>
      <c r="C33" s="187">
        <v>16</v>
      </c>
      <c r="D33" s="196">
        <f t="shared" si="5"/>
        <v>47574</v>
      </c>
      <c r="E33" s="196">
        <f t="shared" si="6"/>
        <v>47757</v>
      </c>
      <c r="F33" s="187">
        <f t="shared" si="7"/>
        <v>12.5</v>
      </c>
      <c r="G33" s="187">
        <f t="shared" si="2"/>
        <v>183</v>
      </c>
      <c r="H33" s="187"/>
      <c r="I33" s="198">
        <f t="shared" si="17"/>
        <v>6062499.9242649842</v>
      </c>
      <c r="J33" s="190">
        <f t="shared" si="9"/>
        <v>0.05</v>
      </c>
      <c r="K33" s="191">
        <f t="shared" si="18"/>
        <v>0.02</v>
      </c>
      <c r="L33" s="198">
        <f t="shared" si="10"/>
        <v>1212499.9848529981</v>
      </c>
      <c r="M33" s="198">
        <f t="shared" si="11"/>
        <v>254658.21599679682</v>
      </c>
      <c r="N33" s="198">
        <v>242500</v>
      </c>
      <c r="O33" s="198">
        <f>T33+T34</f>
        <v>21831.643562887388</v>
      </c>
      <c r="P33" s="198">
        <v>59416</v>
      </c>
      <c r="Q33" s="198">
        <f t="shared" si="12"/>
        <v>242499.99697059963</v>
      </c>
      <c r="R33" s="198">
        <f t="shared" si="13"/>
        <v>969999.98788239842</v>
      </c>
      <c r="S33" s="198">
        <f t="shared" si="0"/>
        <v>60791.095130985872</v>
      </c>
      <c r="T33" s="198">
        <f t="shared" si="14"/>
        <v>12158.219026197175</v>
      </c>
      <c r="U33" s="198">
        <f t="shared" si="15"/>
        <v>48632.876104788695</v>
      </c>
      <c r="V33" s="193">
        <f t="shared" si="16"/>
        <v>1273291.0799839839</v>
      </c>
      <c r="W33" s="187"/>
      <c r="X33" s="199">
        <f>W33*[2]DieuKien!$D$18/10^6</f>
        <v>0</v>
      </c>
    </row>
    <row r="34" spans="1:24" x14ac:dyDescent="0.2">
      <c r="A34" s="179">
        <v>17</v>
      </c>
      <c r="B34" s="179">
        <v>14</v>
      </c>
      <c r="C34" s="187">
        <v>17</v>
      </c>
      <c r="D34" s="196">
        <f t="shared" si="5"/>
        <v>47757</v>
      </c>
      <c r="E34" s="196">
        <f t="shared" si="6"/>
        <v>47939</v>
      </c>
      <c r="F34" s="187">
        <f t="shared" si="7"/>
        <v>13</v>
      </c>
      <c r="G34" s="187">
        <f t="shared" si="2"/>
        <v>182</v>
      </c>
      <c r="H34" s="187"/>
      <c r="I34" s="198">
        <f t="shared" si="17"/>
        <v>4849999.9394119866</v>
      </c>
      <c r="J34" s="190">
        <f t="shared" si="9"/>
        <v>0.05</v>
      </c>
      <c r="K34" s="191">
        <f t="shared" si="18"/>
        <v>0.02</v>
      </c>
      <c r="L34" s="198">
        <f t="shared" si="10"/>
        <v>1212499.9848529981</v>
      </c>
      <c r="M34" s="198">
        <f t="shared" si="11"/>
        <v>252173.42150728984</v>
      </c>
      <c r="N34" s="198"/>
      <c r="O34" s="198"/>
      <c r="P34" s="198"/>
      <c r="Q34" s="198">
        <f t="shared" si="12"/>
        <v>242499.99697059963</v>
      </c>
      <c r="R34" s="198">
        <f t="shared" si="13"/>
        <v>969999.98788239842</v>
      </c>
      <c r="S34" s="198">
        <f t="shared" si="0"/>
        <v>48367.122683451053</v>
      </c>
      <c r="T34" s="198">
        <f t="shared" si="14"/>
        <v>9673.4245366902105</v>
      </c>
      <c r="U34" s="198">
        <f t="shared" si="15"/>
        <v>38693.698146760842</v>
      </c>
      <c r="V34" s="193">
        <f t="shared" si="16"/>
        <v>1260867.1075364491</v>
      </c>
      <c r="W34" s="193">
        <f>SUM(V34)+V35</f>
        <v>2509841.7494680388</v>
      </c>
      <c r="X34" s="199">
        <f>(Q34+T34+T35+Q35)*22300/10^6</f>
        <v>11193.894202627453</v>
      </c>
    </row>
    <row r="35" spans="1:24" x14ac:dyDescent="0.2">
      <c r="A35" s="179">
        <v>18</v>
      </c>
      <c r="C35" s="187">
        <v>18</v>
      </c>
      <c r="D35" s="196">
        <f t="shared" si="5"/>
        <v>47939</v>
      </c>
      <c r="E35" s="196">
        <f t="shared" si="6"/>
        <v>48122</v>
      </c>
      <c r="F35" s="187">
        <f t="shared" si="7"/>
        <v>13.5</v>
      </c>
      <c r="G35" s="187">
        <f t="shared" si="2"/>
        <v>183</v>
      </c>
      <c r="H35" s="187"/>
      <c r="I35" s="198">
        <f t="shared" si="17"/>
        <v>3637499.9545589886</v>
      </c>
      <c r="J35" s="190">
        <f t="shared" si="9"/>
        <v>0.05</v>
      </c>
      <c r="K35" s="191">
        <f t="shared" si="18"/>
        <v>0.02</v>
      </c>
      <c r="L35" s="198">
        <f t="shared" si="10"/>
        <v>1212499.9848529981</v>
      </c>
      <c r="M35" s="198">
        <f t="shared" si="11"/>
        <v>249794.92838631794</v>
      </c>
      <c r="N35" s="198">
        <v>242500</v>
      </c>
      <c r="O35" s="198">
        <f>T35+T36</f>
        <v>12158.219026197165</v>
      </c>
      <c r="P35" s="198">
        <v>54712</v>
      </c>
      <c r="Q35" s="198">
        <f t="shared" si="12"/>
        <v>242499.99697059963</v>
      </c>
      <c r="R35" s="198">
        <f t="shared" si="13"/>
        <v>969999.98788239842</v>
      </c>
      <c r="S35" s="198">
        <f t="shared" si="0"/>
        <v>36474.657078591503</v>
      </c>
      <c r="T35" s="198">
        <f t="shared" si="14"/>
        <v>7294.9314157183007</v>
      </c>
      <c r="U35" s="198">
        <f t="shared" si="15"/>
        <v>29179.725662873203</v>
      </c>
      <c r="V35" s="193">
        <f t="shared" si="16"/>
        <v>1248974.6419315895</v>
      </c>
      <c r="W35" s="187"/>
      <c r="X35" s="199">
        <f>W35*[2]DieuKien!$D$18/10^6</f>
        <v>0</v>
      </c>
    </row>
    <row r="36" spans="1:24" x14ac:dyDescent="0.2">
      <c r="A36" s="179">
        <v>19</v>
      </c>
      <c r="B36" s="179">
        <v>15</v>
      </c>
      <c r="C36" s="187">
        <v>19</v>
      </c>
      <c r="D36" s="196">
        <f t="shared" si="5"/>
        <v>48122</v>
      </c>
      <c r="E36" s="196">
        <f t="shared" si="6"/>
        <v>48305</v>
      </c>
      <c r="F36" s="187">
        <f t="shared" si="7"/>
        <v>14</v>
      </c>
      <c r="G36" s="187">
        <f t="shared" si="2"/>
        <v>183</v>
      </c>
      <c r="H36" s="187"/>
      <c r="I36" s="198">
        <f t="shared" si="17"/>
        <v>2424999.9697059905</v>
      </c>
      <c r="J36" s="190">
        <f t="shared" si="9"/>
        <v>0.05</v>
      </c>
      <c r="K36" s="191">
        <f t="shared" si="18"/>
        <v>0.02</v>
      </c>
      <c r="L36" s="198">
        <f t="shared" si="10"/>
        <v>1212499.9848529981</v>
      </c>
      <c r="M36" s="198">
        <f t="shared" si="11"/>
        <v>247363.28458107851</v>
      </c>
      <c r="N36" s="198"/>
      <c r="O36" s="198"/>
      <c r="P36" s="198"/>
      <c r="Q36" s="198">
        <f t="shared" si="12"/>
        <v>242499.99697059963</v>
      </c>
      <c r="R36" s="198">
        <f t="shared" si="13"/>
        <v>969999.98788239842</v>
      </c>
      <c r="S36" s="198">
        <f t="shared" si="0"/>
        <v>24316.438052394318</v>
      </c>
      <c r="T36" s="198">
        <f t="shared" si="14"/>
        <v>4863.2876104788638</v>
      </c>
      <c r="U36" s="198">
        <f t="shared" si="15"/>
        <v>19453.150441915455</v>
      </c>
      <c r="V36" s="193">
        <f t="shared" si="16"/>
        <v>1236816.4229053925</v>
      </c>
      <c r="W36" s="193">
        <f>SUM(V36)+V37</f>
        <v>2461474.6267845877</v>
      </c>
      <c r="X36" s="199">
        <f>(Q36+T36+T37+Q37)*22300/10^6</f>
        <v>10978.17683545926</v>
      </c>
    </row>
    <row r="37" spans="1:24" x14ac:dyDescent="0.2">
      <c r="A37" s="179">
        <v>20</v>
      </c>
      <c r="C37" s="187">
        <v>20</v>
      </c>
      <c r="D37" s="196">
        <f t="shared" si="5"/>
        <v>48305</v>
      </c>
      <c r="E37" s="196">
        <f t="shared" si="6"/>
        <v>48488</v>
      </c>
      <c r="F37" s="187">
        <f t="shared" si="7"/>
        <v>14.5</v>
      </c>
      <c r="G37" s="187">
        <f t="shared" si="2"/>
        <v>183</v>
      </c>
      <c r="H37" s="187"/>
      <c r="I37" s="198">
        <f t="shared" si="17"/>
        <v>1212499.9848529925</v>
      </c>
      <c r="J37" s="190">
        <f t="shared" si="9"/>
        <v>0.05</v>
      </c>
      <c r="K37" s="191">
        <f t="shared" si="18"/>
        <v>0.02</v>
      </c>
      <c r="L37" s="198">
        <f t="shared" si="10"/>
        <v>1212499.9848529981</v>
      </c>
      <c r="M37" s="198">
        <f t="shared" si="11"/>
        <v>244931.64077583907</v>
      </c>
      <c r="N37" s="198">
        <v>242500</v>
      </c>
      <c r="O37" s="198" t="e">
        <f>T37+#REF!</f>
        <v>#REF!</v>
      </c>
      <c r="P37" s="198">
        <v>49716</v>
      </c>
      <c r="Q37" s="198">
        <f t="shared" si="12"/>
        <v>242499.99697059963</v>
      </c>
      <c r="R37" s="198">
        <f t="shared" si="13"/>
        <v>969999.98788239842</v>
      </c>
      <c r="S37" s="198">
        <f t="shared" si="0"/>
        <v>12158.21902619713</v>
      </c>
      <c r="T37" s="198">
        <f t="shared" si="14"/>
        <v>2431.643805239426</v>
      </c>
      <c r="U37" s="198">
        <f t="shared" si="15"/>
        <v>9726.575220957704</v>
      </c>
      <c r="V37" s="193">
        <f t="shared" si="16"/>
        <v>1224658.2038791953</v>
      </c>
      <c r="W37" s="187"/>
      <c r="X37" s="199">
        <f>W37*[2]DieuKien!$D$18/10^6</f>
        <v>0</v>
      </c>
    </row>
    <row r="38" spans="1:24" ht="15.75" hidden="1" customHeight="1" x14ac:dyDescent="0.2">
      <c r="D38" s="201"/>
      <c r="E38" s="201"/>
      <c r="V38" s="209" t="s">
        <v>17</v>
      </c>
      <c r="W38" s="210">
        <f>AVERAGE(W18:W37)</f>
        <v>2679791.062413462</v>
      </c>
      <c r="X38" s="200">
        <f>AVERAGE(X18:X37)</f>
        <v>5975.9340691820198</v>
      </c>
    </row>
    <row r="39" spans="1:24" ht="15.75" hidden="1" customHeight="1" x14ac:dyDescent="0.2">
      <c r="D39" s="201"/>
      <c r="E39" s="201"/>
    </row>
    <row r="40" spans="1:24" ht="15.75" hidden="1" customHeight="1" x14ac:dyDescent="0.2">
      <c r="D40" s="201"/>
      <c r="E40" s="201"/>
      <c r="S40" s="181"/>
    </row>
    <row r="41" spans="1:24" ht="15.75" hidden="1" customHeight="1" x14ac:dyDescent="0.2">
      <c r="D41" s="201"/>
      <c r="E41" s="201"/>
    </row>
    <row r="42" spans="1:24" ht="15.75" hidden="1" customHeight="1" x14ac:dyDescent="0.2">
      <c r="D42" s="201"/>
      <c r="E42" s="201"/>
      <c r="K42" s="181"/>
    </row>
    <row r="43" spans="1:24" ht="15.75" hidden="1" customHeight="1" x14ac:dyDescent="0.2">
      <c r="D43" s="201"/>
      <c r="E43" s="201"/>
      <c r="I43" s="202">
        <f>SUM(I18:I37)</f>
        <v>254624996.81912944</v>
      </c>
      <c r="L43" s="202">
        <f>SUM(L18:L37)</f>
        <v>24249999.697059967</v>
      </c>
      <c r="M43" s="202"/>
      <c r="N43" s="202"/>
      <c r="O43" s="202"/>
      <c r="P43" s="202"/>
      <c r="Q43" s="202">
        <f>SUM(Q18:Q37)</f>
        <v>4849999.9394119913</v>
      </c>
      <c r="R43" s="202">
        <f>SUM(R18:R37)</f>
        <v>19399999.757647965</v>
      </c>
      <c r="S43" s="202">
        <f>SUM(S18:S37)</f>
        <v>2547910.927074655</v>
      </c>
      <c r="T43" s="202">
        <f>SUM(T18:T37)</f>
        <v>509582.18541493086</v>
      </c>
      <c r="U43" s="202">
        <f>SUM(U18:U37)</f>
        <v>2038328.7416597235</v>
      </c>
      <c r="W43" s="202">
        <f>SUM(W18:W37)</f>
        <v>26797910.624134619</v>
      </c>
      <c r="X43" s="203">
        <f>SUM(X18:X37)</f>
        <v>119518.6813836404</v>
      </c>
    </row>
    <row r="44" spans="1:24" ht="15.75" hidden="1" customHeight="1" x14ac:dyDescent="0.2">
      <c r="D44" s="201"/>
      <c r="E44" s="201"/>
      <c r="L44" s="181"/>
      <c r="M44" s="181" t="e">
        <f>N44+O44</f>
        <v>#REF!</v>
      </c>
      <c r="N44" s="181">
        <f>SUM(N18:N37)</f>
        <v>2667499.9969705995</v>
      </c>
      <c r="O44" s="181" t="e">
        <f>SUM(O18:O37)</f>
        <v>#REF!</v>
      </c>
      <c r="P44" s="181"/>
      <c r="Q44" s="181">
        <f t="shared" ref="Q44:V44" si="19">SUM(Q18:Q37)</f>
        <v>4849999.9394119913</v>
      </c>
      <c r="R44" s="181">
        <f t="shared" si="19"/>
        <v>19399999.757647965</v>
      </c>
      <c r="S44" s="181">
        <f t="shared" si="19"/>
        <v>2547910.927074655</v>
      </c>
      <c r="T44" s="181">
        <f>SUM(T18:T37)</f>
        <v>509582.18541493086</v>
      </c>
      <c r="U44" s="181">
        <f>SUM(U18:U37)</f>
        <v>2038328.7416597235</v>
      </c>
      <c r="V44" s="181">
        <f t="shared" si="19"/>
        <v>26797910.624134615</v>
      </c>
      <c r="W44" s="181"/>
      <c r="X44" s="181"/>
    </row>
    <row r="45" spans="1:24" ht="15.75" hidden="1" customHeight="1" x14ac:dyDescent="0.2">
      <c r="M45" s="181"/>
      <c r="S45" s="182">
        <f>SUM(S7:S16)</f>
        <v>1045718.2922152401</v>
      </c>
      <c r="X45" s="204"/>
    </row>
    <row r="46" spans="1:24" ht="15.75" hidden="1" customHeight="1" x14ac:dyDescent="0.2"/>
    <row r="47" spans="1:24" ht="15.75" hidden="1" customHeight="1" x14ac:dyDescent="0.2"/>
    <row r="48" spans="1:24" ht="15.75" hidden="1" customHeight="1" x14ac:dyDescent="0.2"/>
    <row r="49" ht="15.75" hidden="1" customHeight="1" x14ac:dyDescent="0.2"/>
    <row r="50" ht="15.75" hidden="1" customHeight="1" x14ac:dyDescent="0.2"/>
    <row r="51" ht="15.75" hidden="1" customHeight="1" x14ac:dyDescent="0.2"/>
  </sheetData>
  <mergeCells count="17">
    <mergeCell ref="C1:U1"/>
    <mergeCell ref="C2:U2"/>
    <mergeCell ref="X3:X5"/>
    <mergeCell ref="C3:C5"/>
    <mergeCell ref="D3:D5"/>
    <mergeCell ref="E3:E5"/>
    <mergeCell ref="I3:I5"/>
    <mergeCell ref="J3:J5"/>
    <mergeCell ref="W3:W5"/>
    <mergeCell ref="K3:K5"/>
    <mergeCell ref="L3:R3"/>
    <mergeCell ref="L4:L5"/>
    <mergeCell ref="M4:N4"/>
    <mergeCell ref="Q4:R4"/>
    <mergeCell ref="S3:U3"/>
    <mergeCell ref="S4:S5"/>
    <mergeCell ref="T4:U4"/>
  </mergeCells>
  <pageMargins left="0.25" right="0.25" top="0.75" bottom="0.75" header="0.3" footer="0.3"/>
  <pageSetup paperSize="9" scale="80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24"/>
  <sheetViews>
    <sheetView topLeftCell="C1" zoomScale="98" zoomScaleNormal="98" zoomScalePageLayoutView="98" workbookViewId="0">
      <pane ySplit="8" topLeftCell="A9" activePane="bottomLeft" state="frozen"/>
      <selection activeCell="C1" sqref="C1"/>
      <selection pane="bottomLeft" activeCell="AJ29" sqref="AJ29"/>
    </sheetView>
  </sheetViews>
  <sheetFormatPr baseColWidth="10" defaultColWidth="14.3984375" defaultRowHeight="16" x14ac:dyDescent="0.2"/>
  <cols>
    <col min="1" max="1" width="18.3984375" style="60" hidden="1" customWidth="1"/>
    <col min="2" max="2" width="3.3984375" style="60" hidden="1" customWidth="1"/>
    <col min="3" max="3" width="6" style="60" customWidth="1"/>
    <col min="4" max="4" width="14.59765625" style="169" hidden="1" customWidth="1"/>
    <col min="5" max="5" width="14.59765625" style="271" customWidth="1"/>
    <col min="6" max="6" width="9.59765625" style="60" hidden="1" customWidth="1"/>
    <col min="7" max="7" width="8.3984375" style="60" hidden="1" customWidth="1"/>
    <col min="8" max="8" width="14.19921875" style="60" hidden="1" customWidth="1"/>
    <col min="9" max="9" width="16.19921875" style="60" customWidth="1"/>
    <col min="10" max="11" width="16.19921875" style="60" hidden="1" customWidth="1"/>
    <col min="12" max="12" width="15" style="60" customWidth="1"/>
    <col min="13" max="13" width="11" style="60" hidden="1" customWidth="1"/>
    <col min="14" max="14" width="10.19921875" style="60" hidden="1" customWidth="1"/>
    <col min="15" max="15" width="11.59765625" style="60" hidden="1" customWidth="1"/>
    <col min="16" max="16" width="18" style="60" customWidth="1"/>
    <col min="17" max="19" width="11.59765625" style="60" hidden="1" customWidth="1"/>
    <col min="20" max="20" width="13.19921875" style="60" hidden="1" customWidth="1"/>
    <col min="21" max="21" width="13.3984375" style="60" hidden="1" customWidth="1"/>
    <col min="22" max="22" width="13.3984375" style="144" hidden="1" customWidth="1"/>
    <col min="23" max="23" width="13.3984375" style="60" hidden="1" customWidth="1"/>
    <col min="24" max="24" width="13.3984375" style="60" customWidth="1"/>
    <col min="25" max="25" width="18.796875" style="144" customWidth="1"/>
    <col min="26" max="26" width="19" style="60" customWidth="1"/>
    <col min="27" max="27" width="26.3984375" style="60" hidden="1" customWidth="1"/>
    <col min="28" max="28" width="12.796875" style="60" hidden="1" customWidth="1"/>
    <col min="29" max="29" width="15" style="60" hidden="1" customWidth="1"/>
    <col min="30" max="30" width="13.3984375" style="60" hidden="1" customWidth="1"/>
    <col min="31" max="31" width="16.3984375" style="60" hidden="1" customWidth="1"/>
    <col min="32" max="32" width="8.19921875" style="60" hidden="1" customWidth="1"/>
    <col min="33" max="33" width="15.3984375" style="60" bestFit="1" customWidth="1"/>
    <col min="34" max="16384" width="14.3984375" style="60"/>
  </cols>
  <sheetData>
    <row r="1" spans="1:40" x14ac:dyDescent="0.2">
      <c r="C1" s="305" t="s">
        <v>94</v>
      </c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305"/>
      <c r="T1" s="305"/>
      <c r="U1" s="305"/>
      <c r="V1" s="305"/>
      <c r="W1" s="305"/>
      <c r="X1" s="305"/>
      <c r="Y1" s="305"/>
      <c r="Z1" s="305"/>
      <c r="AA1" s="212"/>
      <c r="AB1" s="212"/>
      <c r="AC1" s="212"/>
      <c r="AD1" s="212"/>
      <c r="AE1" s="212"/>
      <c r="AF1" s="212"/>
    </row>
    <row r="2" spans="1:40" x14ac:dyDescent="0.2">
      <c r="C2" s="306" t="s">
        <v>90</v>
      </c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  <c r="T2" s="306"/>
      <c r="U2" s="306"/>
      <c r="V2" s="306"/>
      <c r="W2" s="306"/>
      <c r="X2" s="306"/>
      <c r="Y2" s="306"/>
      <c r="Z2" s="306"/>
      <c r="AA2" s="232"/>
      <c r="AB2" s="232"/>
      <c r="AC2" s="232"/>
      <c r="AD2" s="232"/>
      <c r="AE2" s="232"/>
      <c r="AF2" s="232"/>
    </row>
    <row r="3" spans="1:40" s="177" customFormat="1" ht="29.25" customHeight="1" x14ac:dyDescent="0.15">
      <c r="C3" s="234"/>
      <c r="D3" s="234"/>
      <c r="E3" s="265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4"/>
      <c r="V3" s="234"/>
      <c r="W3" s="234"/>
      <c r="X3" s="234"/>
      <c r="Y3" s="310" t="s">
        <v>91</v>
      </c>
      <c r="Z3" s="310"/>
      <c r="AA3" s="178"/>
      <c r="AB3" s="178"/>
      <c r="AC3" s="178"/>
      <c r="AD3" s="178"/>
      <c r="AE3" s="178"/>
      <c r="AF3" s="178"/>
    </row>
    <row r="4" spans="1:40" hidden="1" x14ac:dyDescent="0.2">
      <c r="D4" s="162"/>
      <c r="E4" s="266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</row>
    <row r="5" spans="1:40" s="170" customFormat="1" ht="15.5" customHeight="1" x14ac:dyDescent="0.15">
      <c r="C5" s="307" t="s">
        <v>75</v>
      </c>
      <c r="D5" s="307" t="s">
        <v>69</v>
      </c>
      <c r="E5" s="299" t="s">
        <v>96</v>
      </c>
      <c r="F5" s="161"/>
      <c r="G5" s="300" t="s">
        <v>6</v>
      </c>
      <c r="H5" s="300" t="s">
        <v>7</v>
      </c>
      <c r="I5" s="300" t="s">
        <v>70</v>
      </c>
      <c r="J5" s="300"/>
      <c r="K5" s="300"/>
      <c r="L5" s="300"/>
      <c r="M5" s="255"/>
      <c r="N5" s="255"/>
      <c r="O5" s="255"/>
      <c r="P5" s="300" t="s">
        <v>8</v>
      </c>
      <c r="Q5" s="255"/>
      <c r="R5" s="255"/>
      <c r="S5" s="255"/>
      <c r="T5" s="255"/>
      <c r="U5" s="300" t="s">
        <v>4</v>
      </c>
      <c r="V5" s="300"/>
      <c r="W5" s="300"/>
      <c r="X5" s="300" t="s">
        <v>83</v>
      </c>
      <c r="Y5" s="300"/>
      <c r="Z5" s="300"/>
      <c r="AA5" s="296" t="s">
        <v>20</v>
      </c>
      <c r="AB5" s="171">
        <f>SUM(AB10:AB18)</f>
        <v>37664.200726780655</v>
      </c>
      <c r="AC5" s="171">
        <f>SUM(AC10:AC18)</f>
        <v>4680.4238357164731</v>
      </c>
      <c r="AD5" s="172"/>
      <c r="AE5" s="173"/>
      <c r="AF5" s="173"/>
    </row>
    <row r="6" spans="1:40" s="170" customFormat="1" ht="15.5" customHeight="1" x14ac:dyDescent="0.15">
      <c r="C6" s="308"/>
      <c r="D6" s="308"/>
      <c r="E6" s="299"/>
      <c r="F6" s="161"/>
      <c r="G6" s="300"/>
      <c r="H6" s="300"/>
      <c r="I6" s="300"/>
      <c r="J6" s="300"/>
      <c r="K6" s="300"/>
      <c r="L6" s="300"/>
      <c r="M6" s="255"/>
      <c r="N6" s="255"/>
      <c r="O6" s="255"/>
      <c r="P6" s="300"/>
      <c r="Q6" s="255"/>
      <c r="R6" s="255"/>
      <c r="S6" s="255"/>
      <c r="T6" s="255"/>
      <c r="U6" s="300" t="s">
        <v>71</v>
      </c>
      <c r="V6" s="304" t="s">
        <v>0</v>
      </c>
      <c r="W6" s="304"/>
      <c r="X6" s="300" t="s">
        <v>71</v>
      </c>
      <c r="Y6" s="304" t="s">
        <v>0</v>
      </c>
      <c r="Z6" s="304"/>
      <c r="AA6" s="297"/>
      <c r="AB6" s="171"/>
      <c r="AC6" s="171"/>
      <c r="AD6" s="172"/>
      <c r="AE6" s="173"/>
      <c r="AF6" s="174"/>
      <c r="AG6" s="175"/>
      <c r="AH6" s="175"/>
      <c r="AI6" s="175"/>
      <c r="AJ6" s="175"/>
      <c r="AK6" s="175"/>
      <c r="AL6" s="175"/>
      <c r="AM6" s="175"/>
    </row>
    <row r="7" spans="1:40" s="170" customFormat="1" ht="32" x14ac:dyDescent="0.15">
      <c r="C7" s="309"/>
      <c r="D7" s="309"/>
      <c r="E7" s="299"/>
      <c r="F7" s="233" t="s">
        <v>5</v>
      </c>
      <c r="G7" s="300"/>
      <c r="H7" s="300"/>
      <c r="I7" s="231" t="s">
        <v>81</v>
      </c>
      <c r="J7" s="231"/>
      <c r="K7" s="231"/>
      <c r="L7" s="231" t="s">
        <v>82</v>
      </c>
      <c r="M7" s="62" t="s">
        <v>4</v>
      </c>
      <c r="N7" s="255"/>
      <c r="O7" s="255"/>
      <c r="P7" s="300"/>
      <c r="Q7" s="256"/>
      <c r="R7" s="161" t="s">
        <v>28</v>
      </c>
      <c r="S7" s="161" t="s">
        <v>29</v>
      </c>
      <c r="T7" s="161"/>
      <c r="U7" s="300"/>
      <c r="V7" s="233" t="s">
        <v>73</v>
      </c>
      <c r="W7" s="233" t="s">
        <v>72</v>
      </c>
      <c r="X7" s="300"/>
      <c r="Y7" s="233" t="s">
        <v>84</v>
      </c>
      <c r="Z7" s="233" t="s">
        <v>85</v>
      </c>
      <c r="AA7" s="298"/>
      <c r="AB7" s="63" t="s">
        <v>20</v>
      </c>
      <c r="AC7" s="63" t="s">
        <v>21</v>
      </c>
      <c r="AD7" s="63" t="s">
        <v>9</v>
      </c>
      <c r="AE7" s="63" t="s">
        <v>22</v>
      </c>
      <c r="AF7" s="301" t="s">
        <v>19</v>
      </c>
      <c r="AG7" s="175"/>
      <c r="AH7" s="175"/>
      <c r="AI7" s="175"/>
      <c r="AJ7" s="175"/>
      <c r="AK7" s="175"/>
      <c r="AL7" s="175"/>
      <c r="AM7" s="175"/>
      <c r="AN7" s="175"/>
    </row>
    <row r="8" spans="1:40" s="65" customFormat="1" ht="48" hidden="1" x14ac:dyDescent="0.2">
      <c r="C8" s="1">
        <v>-1</v>
      </c>
      <c r="D8" s="1">
        <v>-2</v>
      </c>
      <c r="E8" s="267">
        <v>-3</v>
      </c>
      <c r="F8" s="1">
        <v>-4</v>
      </c>
      <c r="G8" s="1">
        <v>-5</v>
      </c>
      <c r="H8" s="1">
        <v>-6</v>
      </c>
      <c r="I8" s="1" t="s">
        <v>43</v>
      </c>
      <c r="J8" s="1"/>
      <c r="K8" s="1"/>
      <c r="L8" s="1">
        <v>-8</v>
      </c>
      <c r="M8" s="66">
        <v>-8</v>
      </c>
      <c r="N8" s="1">
        <v>-9</v>
      </c>
      <c r="O8" s="1">
        <v>-10</v>
      </c>
      <c r="P8" s="1" t="s">
        <v>31</v>
      </c>
      <c r="Q8" s="67"/>
      <c r="R8" s="67"/>
      <c r="S8" s="67"/>
      <c r="T8" s="67"/>
      <c r="U8" s="1" t="s">
        <v>39</v>
      </c>
      <c r="V8" s="1" t="s">
        <v>38</v>
      </c>
      <c r="W8" s="1" t="s">
        <v>37</v>
      </c>
      <c r="X8" s="1" t="s">
        <v>36</v>
      </c>
      <c r="Y8" s="1" t="s">
        <v>41</v>
      </c>
      <c r="Z8" s="1" t="s">
        <v>40</v>
      </c>
      <c r="AA8" s="1" t="s">
        <v>42</v>
      </c>
      <c r="AB8" s="1"/>
      <c r="AC8" s="1"/>
      <c r="AD8" s="1"/>
      <c r="AE8" s="1"/>
      <c r="AF8" s="302"/>
      <c r="AG8" s="68"/>
      <c r="AH8" s="68"/>
      <c r="AI8" s="68"/>
      <c r="AJ8" s="68"/>
      <c r="AK8" s="68"/>
      <c r="AL8" s="68"/>
      <c r="AM8" s="68"/>
      <c r="AN8" s="68"/>
    </row>
    <row r="9" spans="1:40" s="69" customFormat="1" ht="15.5" hidden="1" customHeight="1" x14ac:dyDescent="0.2">
      <c r="C9" s="1" t="s">
        <v>34</v>
      </c>
      <c r="D9" s="163" t="s">
        <v>32</v>
      </c>
      <c r="E9" s="267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1"/>
      <c r="AC9" s="1"/>
      <c r="AD9" s="1"/>
      <c r="AE9" s="1"/>
      <c r="AF9" s="302"/>
      <c r="AG9" s="70"/>
      <c r="AH9" s="70"/>
      <c r="AI9" s="70"/>
      <c r="AJ9" s="70"/>
      <c r="AK9" s="70"/>
      <c r="AL9" s="70"/>
      <c r="AM9" s="70"/>
      <c r="AN9" s="70"/>
    </row>
    <row r="10" spans="1:40" hidden="1" x14ac:dyDescent="0.2">
      <c r="A10" s="60" t="s">
        <v>10</v>
      </c>
      <c r="B10" s="60">
        <v>1</v>
      </c>
      <c r="C10" s="71">
        <v>1</v>
      </c>
      <c r="D10" s="164">
        <v>43009</v>
      </c>
      <c r="E10" s="268">
        <v>43191</v>
      </c>
      <c r="F10" s="71">
        <v>0</v>
      </c>
      <c r="G10" s="71">
        <f>E10-D10</f>
        <v>182</v>
      </c>
      <c r="H10" s="72">
        <f>'[2]Co cau+Tiendo'!E11</f>
        <v>0</v>
      </c>
      <c r="I10" s="73"/>
      <c r="J10" s="73"/>
      <c r="K10" s="73"/>
      <c r="L10" s="73">
        <f>[2]DieuKien!$D$16-H10</f>
        <v>9257981.2135051116</v>
      </c>
      <c r="M10" s="74"/>
      <c r="N10" s="75">
        <f>[2]LIBOR!B5/100</f>
        <v>1.3931333333333334E-2</v>
      </c>
      <c r="O10" s="74">
        <f>[2]DieuKien!D17</f>
        <v>5.0000000000000001E-3</v>
      </c>
      <c r="P10" s="74">
        <f>N10+O10</f>
        <v>1.8931333333333335E-2</v>
      </c>
      <c r="Q10" s="74"/>
      <c r="R10" s="74"/>
      <c r="S10" s="74"/>
      <c r="T10" s="74"/>
      <c r="U10" s="76"/>
      <c r="V10" s="76"/>
      <c r="W10" s="76"/>
      <c r="X10" s="76">
        <f>H10*P10</f>
        <v>0</v>
      </c>
      <c r="Y10" s="76"/>
      <c r="Z10" s="76"/>
      <c r="AA10" s="76">
        <f t="shared" ref="AA10:AA18" si="0">0.15%*L10*G10/365</f>
        <v>6924.462661059988</v>
      </c>
      <c r="AB10" s="77">
        <f t="shared" ref="AB10:AB18" si="1">L10*0.15%*G10/365</f>
        <v>6924.462661059988</v>
      </c>
      <c r="AC10" s="77">
        <f>G10*L10*0.1%/360</f>
        <v>4680.4238357164731</v>
      </c>
      <c r="AD10" s="78">
        <f t="shared" ref="AD10:AD18" si="2">U10</f>
        <v>0</v>
      </c>
      <c r="AE10" s="78">
        <f>SUM(AD10)+AD11</f>
        <v>0</v>
      </c>
      <c r="AF10" s="303"/>
      <c r="AG10" s="64"/>
      <c r="AH10" s="64"/>
      <c r="AI10" s="64"/>
      <c r="AJ10" s="64"/>
      <c r="AK10" s="64"/>
      <c r="AL10" s="64"/>
      <c r="AM10" s="64"/>
      <c r="AN10" s="64"/>
    </row>
    <row r="11" spans="1:40" hidden="1" x14ac:dyDescent="0.2">
      <c r="C11" s="71">
        <f>C10+1</f>
        <v>2</v>
      </c>
      <c r="D11" s="164">
        <f>E10</f>
        <v>43191</v>
      </c>
      <c r="E11" s="268">
        <f>DATE(YEAR(D11),MONTH(D11)+6,DAY(D11))</f>
        <v>43374</v>
      </c>
      <c r="F11" s="71">
        <f>F10+0.5</f>
        <v>0.5</v>
      </c>
      <c r="G11" s="71">
        <f t="shared" ref="G11:G61" si="3">E11-D11</f>
        <v>183</v>
      </c>
      <c r="H11" s="73"/>
      <c r="I11" s="73">
        <f>H10</f>
        <v>0</v>
      </c>
      <c r="J11" s="73"/>
      <c r="K11" s="73"/>
      <c r="L11" s="73">
        <f>[2]DieuKien!$D$16-H11</f>
        <v>9257981.2135051116</v>
      </c>
      <c r="M11" s="74"/>
      <c r="N11" s="75">
        <f>[2]LIBOR!B6/100</f>
        <v>1.4769166666666667E-2</v>
      </c>
      <c r="O11" s="74">
        <f>O10</f>
        <v>5.0000000000000001E-3</v>
      </c>
      <c r="P11" s="74">
        <f t="shared" ref="P11:P61" si="4">N11+O11</f>
        <v>1.9769166666666668E-2</v>
      </c>
      <c r="Q11" s="74"/>
      <c r="R11" s="74"/>
      <c r="S11" s="74"/>
      <c r="T11" s="74"/>
      <c r="U11" s="76"/>
      <c r="V11" s="76"/>
      <c r="W11" s="76"/>
      <c r="X11" s="76">
        <f t="shared" ref="X11:X19" si="5">P11*I11*G11/365</f>
        <v>0</v>
      </c>
      <c r="Y11" s="76"/>
      <c r="Z11" s="76"/>
      <c r="AA11" s="76">
        <f t="shared" si="0"/>
        <v>6962.5091591976798</v>
      </c>
      <c r="AB11" s="77">
        <f t="shared" si="1"/>
        <v>6962.5091591976798</v>
      </c>
      <c r="AC11" s="77"/>
      <c r="AD11" s="78">
        <f t="shared" si="2"/>
        <v>0</v>
      </c>
      <c r="AE11" s="78"/>
      <c r="AF11" s="79"/>
      <c r="AG11" s="64"/>
      <c r="AH11" s="64"/>
      <c r="AI11" s="64"/>
      <c r="AJ11" s="64"/>
      <c r="AK11" s="64"/>
      <c r="AL11" s="64"/>
      <c r="AM11" s="64"/>
      <c r="AN11" s="64"/>
    </row>
    <row r="12" spans="1:40" hidden="1" x14ac:dyDescent="0.2">
      <c r="B12" s="60">
        <v>2</v>
      </c>
      <c r="C12" s="71">
        <f t="shared" ref="C12:C61" si="6">C11+1</f>
        <v>3</v>
      </c>
      <c r="D12" s="164">
        <f t="shared" ref="D12:D61" si="7">E11</f>
        <v>43374</v>
      </c>
      <c r="E12" s="268">
        <f t="shared" ref="E12:E61" si="8">DATE(YEAR(D12),MONTH(D12)+6,DAY(D12))</f>
        <v>43556</v>
      </c>
      <c r="F12" s="71">
        <f t="shared" ref="F12:F61" si="9">F11+0.5</f>
        <v>1</v>
      </c>
      <c r="G12" s="71">
        <f t="shared" si="3"/>
        <v>182</v>
      </c>
      <c r="H12" s="73">
        <f>'[2]Co cau+Tiendo'!F11</f>
        <v>987526.51258565008</v>
      </c>
      <c r="I12" s="73">
        <f>H12+I11</f>
        <v>987526.51258565008</v>
      </c>
      <c r="J12" s="73"/>
      <c r="K12" s="73"/>
      <c r="L12" s="73">
        <f t="shared" ref="L12:L17" si="10">L11-H12</f>
        <v>8270454.7009194614</v>
      </c>
      <c r="M12" s="74"/>
      <c r="N12" s="75">
        <f>[2]LIBOR!B7/100</f>
        <v>1.5606999999999999E-2</v>
      </c>
      <c r="O12" s="74">
        <f t="shared" ref="O12:O61" si="11">O11</f>
        <v>5.0000000000000001E-3</v>
      </c>
      <c r="P12" s="74">
        <f t="shared" si="4"/>
        <v>2.0607E-2</v>
      </c>
      <c r="Q12" s="74"/>
      <c r="R12" s="74"/>
      <c r="S12" s="74"/>
      <c r="T12" s="74"/>
      <c r="U12" s="76"/>
      <c r="V12" s="76"/>
      <c r="W12" s="76"/>
      <c r="X12" s="76">
        <f t="shared" si="5"/>
        <v>10147.102766474394</v>
      </c>
      <c r="Y12" s="76"/>
      <c r="Z12" s="76"/>
      <c r="AA12" s="76">
        <f t="shared" si="0"/>
        <v>6185.8469406877066</v>
      </c>
      <c r="AB12" s="77">
        <f t="shared" si="1"/>
        <v>6185.8469406877066</v>
      </c>
      <c r="AC12" s="77"/>
      <c r="AD12" s="78">
        <f t="shared" si="2"/>
        <v>0</v>
      </c>
      <c r="AE12" s="78">
        <f>SUM(AD12)+AD13</f>
        <v>0</v>
      </c>
      <c r="AF12" s="80">
        <f>AE12*[2]DieuKien!$D$18/1000000000</f>
        <v>0</v>
      </c>
      <c r="AG12" s="64"/>
      <c r="AH12" s="64"/>
      <c r="AI12" s="64"/>
      <c r="AJ12" s="64"/>
      <c r="AK12" s="64"/>
      <c r="AL12" s="64"/>
      <c r="AM12" s="64"/>
      <c r="AN12" s="64"/>
    </row>
    <row r="13" spans="1:40" hidden="1" x14ac:dyDescent="0.2">
      <c r="C13" s="71">
        <f t="shared" si="6"/>
        <v>4</v>
      </c>
      <c r="D13" s="164">
        <f t="shared" si="7"/>
        <v>43556</v>
      </c>
      <c r="E13" s="268">
        <f t="shared" si="8"/>
        <v>43739</v>
      </c>
      <c r="F13" s="71">
        <f t="shared" si="9"/>
        <v>1.5</v>
      </c>
      <c r="G13" s="71">
        <f t="shared" si="3"/>
        <v>183</v>
      </c>
      <c r="H13" s="73"/>
      <c r="I13" s="73">
        <f t="shared" ref="I13:I21" si="12">H13+I12+X12</f>
        <v>997673.61535212444</v>
      </c>
      <c r="J13" s="73"/>
      <c r="K13" s="73"/>
      <c r="L13" s="73">
        <f t="shared" si="10"/>
        <v>8270454.7009194614</v>
      </c>
      <c r="M13" s="74"/>
      <c r="N13" s="75">
        <f>[2]LIBOR!B8/100</f>
        <v>1.5807749999999999E-2</v>
      </c>
      <c r="O13" s="74">
        <f t="shared" si="11"/>
        <v>5.0000000000000001E-3</v>
      </c>
      <c r="P13" s="74">
        <f t="shared" si="4"/>
        <v>2.080775E-2</v>
      </c>
      <c r="Q13" s="74"/>
      <c r="R13" s="74"/>
      <c r="S13" s="74"/>
      <c r="T13" s="74"/>
      <c r="U13" s="76"/>
      <c r="V13" s="76"/>
      <c r="W13" s="76"/>
      <c r="X13" s="76">
        <f t="shared" si="5"/>
        <v>10408.109041318628</v>
      </c>
      <c r="Y13" s="76"/>
      <c r="Z13" s="76"/>
      <c r="AA13" s="76">
        <f t="shared" si="0"/>
        <v>6219.8351106914861</v>
      </c>
      <c r="AB13" s="77">
        <f t="shared" si="1"/>
        <v>6219.8351106914861</v>
      </c>
      <c r="AC13" s="77"/>
      <c r="AD13" s="78">
        <f t="shared" si="2"/>
        <v>0</v>
      </c>
      <c r="AE13" s="81"/>
      <c r="AF13" s="79"/>
      <c r="AG13" s="64"/>
      <c r="AH13" s="64"/>
      <c r="AI13" s="64"/>
      <c r="AJ13" s="64"/>
      <c r="AK13" s="64"/>
      <c r="AL13" s="64"/>
      <c r="AM13" s="64"/>
      <c r="AN13" s="64"/>
    </row>
    <row r="14" spans="1:40" hidden="1" x14ac:dyDescent="0.2">
      <c r="B14" s="60">
        <v>3</v>
      </c>
      <c r="C14" s="71">
        <f t="shared" si="6"/>
        <v>5</v>
      </c>
      <c r="D14" s="164">
        <f t="shared" si="7"/>
        <v>43739</v>
      </c>
      <c r="E14" s="268">
        <f t="shared" si="8"/>
        <v>43922</v>
      </c>
      <c r="F14" s="71">
        <f t="shared" si="9"/>
        <v>2</v>
      </c>
      <c r="G14" s="71">
        <f t="shared" si="3"/>
        <v>183</v>
      </c>
      <c r="H14" s="73">
        <f>'[2]Co cau+Tiendo'!G11</f>
        <v>2656609.1696068514</v>
      </c>
      <c r="I14" s="73">
        <f t="shared" si="12"/>
        <v>3664690.8940002946</v>
      </c>
      <c r="J14" s="73"/>
      <c r="K14" s="73"/>
      <c r="L14" s="73">
        <f t="shared" si="10"/>
        <v>5613845.53131261</v>
      </c>
      <c r="M14" s="74"/>
      <c r="N14" s="75">
        <f>[2]LIBOR!B9/100</f>
        <v>1.6008500000000002E-2</v>
      </c>
      <c r="O14" s="74">
        <f t="shared" si="11"/>
        <v>5.0000000000000001E-3</v>
      </c>
      <c r="P14" s="74">
        <f t="shared" si="4"/>
        <v>2.1008500000000003E-2</v>
      </c>
      <c r="Q14" s="74"/>
      <c r="R14" s="74"/>
      <c r="S14" s="74"/>
      <c r="T14" s="74"/>
      <c r="U14" s="76"/>
      <c r="V14" s="76"/>
      <c r="W14" s="76"/>
      <c r="X14" s="76">
        <f t="shared" si="5"/>
        <v>38600.294609119868</v>
      </c>
      <c r="Y14" s="76"/>
      <c r="Z14" s="76"/>
      <c r="AA14" s="76">
        <f t="shared" si="0"/>
        <v>4221.9194475214017</v>
      </c>
      <c r="AB14" s="77">
        <f t="shared" si="1"/>
        <v>4221.9194475214017</v>
      </c>
      <c r="AC14" s="77"/>
      <c r="AD14" s="78">
        <f t="shared" si="2"/>
        <v>0</v>
      </c>
      <c r="AE14" s="78">
        <f>SUM(AD14)+AD15</f>
        <v>0</v>
      </c>
      <c r="AF14" s="80">
        <f>AE14*[2]DieuKien!$D$18/1000000000</f>
        <v>0</v>
      </c>
      <c r="AG14" s="64"/>
      <c r="AH14" s="64"/>
      <c r="AI14" s="64"/>
      <c r="AJ14" s="64"/>
      <c r="AK14" s="64"/>
      <c r="AL14" s="64"/>
      <c r="AM14" s="64"/>
      <c r="AN14" s="64"/>
    </row>
    <row r="15" spans="1:40" hidden="1" x14ac:dyDescent="0.2">
      <c r="C15" s="71">
        <f t="shared" si="6"/>
        <v>6</v>
      </c>
      <c r="D15" s="164">
        <f t="shared" si="7"/>
        <v>43922</v>
      </c>
      <c r="E15" s="268">
        <f t="shared" si="8"/>
        <v>44105</v>
      </c>
      <c r="F15" s="71">
        <f t="shared" si="9"/>
        <v>2.5</v>
      </c>
      <c r="G15" s="71">
        <f t="shared" si="3"/>
        <v>183</v>
      </c>
      <c r="H15" s="73"/>
      <c r="I15" s="73">
        <f t="shared" si="12"/>
        <v>3703291.1886094143</v>
      </c>
      <c r="J15" s="73"/>
      <c r="K15" s="73"/>
      <c r="L15" s="73">
        <f t="shared" si="10"/>
        <v>5613845.53131261</v>
      </c>
      <c r="M15" s="74"/>
      <c r="N15" s="75">
        <f>[2]LIBOR!B10/100</f>
        <v>1.6209250000000001E-2</v>
      </c>
      <c r="O15" s="74">
        <f t="shared" si="11"/>
        <v>5.0000000000000001E-3</v>
      </c>
      <c r="P15" s="74">
        <f t="shared" si="4"/>
        <v>2.1209250000000002E-2</v>
      </c>
      <c r="Q15" s="74"/>
      <c r="R15" s="74"/>
      <c r="S15" s="74"/>
      <c r="T15" s="74"/>
      <c r="U15" s="76"/>
      <c r="V15" s="76"/>
      <c r="W15" s="76"/>
      <c r="X15" s="76">
        <f t="shared" si="5"/>
        <v>39379.608880790693</v>
      </c>
      <c r="Y15" s="76"/>
      <c r="Z15" s="76"/>
      <c r="AA15" s="76">
        <f t="shared" si="0"/>
        <v>4221.9194475214017</v>
      </c>
      <c r="AB15" s="77">
        <f t="shared" si="1"/>
        <v>4221.9194475214017</v>
      </c>
      <c r="AC15" s="77"/>
      <c r="AD15" s="78">
        <f t="shared" si="2"/>
        <v>0</v>
      </c>
      <c r="AE15" s="81"/>
      <c r="AF15" s="79"/>
      <c r="AG15" s="64"/>
      <c r="AH15" s="64"/>
      <c r="AI15" s="64"/>
      <c r="AJ15" s="64"/>
      <c r="AK15" s="64"/>
      <c r="AL15" s="64"/>
      <c r="AM15" s="64"/>
      <c r="AN15" s="64"/>
    </row>
    <row r="16" spans="1:40" hidden="1" x14ac:dyDescent="0.2">
      <c r="B16" s="60">
        <v>4</v>
      </c>
      <c r="C16" s="71">
        <f t="shared" si="6"/>
        <v>7</v>
      </c>
      <c r="D16" s="164">
        <f t="shared" si="7"/>
        <v>44105</v>
      </c>
      <c r="E16" s="268">
        <f t="shared" si="8"/>
        <v>44287</v>
      </c>
      <c r="F16" s="71">
        <f t="shared" si="9"/>
        <v>3</v>
      </c>
      <c r="G16" s="71">
        <f t="shared" si="3"/>
        <v>182</v>
      </c>
      <c r="H16" s="73">
        <f>'[2]Co cau+Tiendo'!H11</f>
        <v>3662040.2245786181</v>
      </c>
      <c r="I16" s="73">
        <f t="shared" si="12"/>
        <v>7404711.0220688237</v>
      </c>
      <c r="J16" s="73"/>
      <c r="K16" s="73"/>
      <c r="L16" s="73">
        <f t="shared" si="10"/>
        <v>1951805.306733992</v>
      </c>
      <c r="M16" s="74"/>
      <c r="N16" s="75">
        <f>[2]LIBOR!B11/100</f>
        <v>1.6410000000000001E-2</v>
      </c>
      <c r="O16" s="74">
        <f t="shared" si="11"/>
        <v>5.0000000000000001E-3</v>
      </c>
      <c r="P16" s="74">
        <f t="shared" si="4"/>
        <v>2.1410000000000002E-2</v>
      </c>
      <c r="Q16" s="74"/>
      <c r="R16" s="74"/>
      <c r="S16" s="74"/>
      <c r="T16" s="74"/>
      <c r="U16" s="76"/>
      <c r="V16" s="76"/>
      <c r="W16" s="76"/>
      <c r="X16" s="76">
        <f t="shared" si="5"/>
        <v>79050.260446065266</v>
      </c>
      <c r="Y16" s="76"/>
      <c r="Z16" s="76"/>
      <c r="AA16" s="76">
        <f t="shared" si="0"/>
        <v>1459.8434212010409</v>
      </c>
      <c r="AB16" s="77">
        <f t="shared" si="1"/>
        <v>1459.8434212010409</v>
      </c>
      <c r="AC16" s="77"/>
      <c r="AD16" s="78">
        <f t="shared" si="2"/>
        <v>0</v>
      </c>
      <c r="AE16" s="78">
        <f>SUM(AD16)+AD17</f>
        <v>0</v>
      </c>
      <c r="AF16" s="80">
        <f>AE16*[2]DieuKien!$D$18/1000000000</f>
        <v>0</v>
      </c>
      <c r="AG16" s="64"/>
      <c r="AH16" s="64"/>
      <c r="AI16" s="64"/>
      <c r="AJ16" s="64"/>
      <c r="AK16" s="64"/>
      <c r="AL16" s="64"/>
      <c r="AM16" s="64"/>
      <c r="AN16" s="64"/>
    </row>
    <row r="17" spans="1:40" hidden="1" x14ac:dyDescent="0.2">
      <c r="C17" s="71">
        <f t="shared" si="6"/>
        <v>8</v>
      </c>
      <c r="D17" s="164">
        <f t="shared" si="7"/>
        <v>44287</v>
      </c>
      <c r="E17" s="268">
        <f t="shared" si="8"/>
        <v>44470</v>
      </c>
      <c r="F17" s="71">
        <f t="shared" si="9"/>
        <v>3.5</v>
      </c>
      <c r="G17" s="71">
        <f t="shared" si="3"/>
        <v>183</v>
      </c>
      <c r="H17" s="73"/>
      <c r="I17" s="73">
        <f t="shared" si="12"/>
        <v>7483761.2825148888</v>
      </c>
      <c r="J17" s="73"/>
      <c r="K17" s="73"/>
      <c r="L17" s="73">
        <f t="shared" si="10"/>
        <v>1951805.306733992</v>
      </c>
      <c r="M17" s="74"/>
      <c r="N17" s="75">
        <f>[2]LIBOR!B12/100</f>
        <v>1.6702499999999999E-2</v>
      </c>
      <c r="O17" s="74">
        <f t="shared" si="11"/>
        <v>5.0000000000000001E-3</v>
      </c>
      <c r="P17" s="74">
        <f t="shared" si="4"/>
        <v>2.17025E-2</v>
      </c>
      <c r="Q17" s="74"/>
      <c r="R17" s="74"/>
      <c r="S17" s="74"/>
      <c r="T17" s="74"/>
      <c r="U17" s="76"/>
      <c r="V17" s="76"/>
      <c r="W17" s="76"/>
      <c r="X17" s="76">
        <f t="shared" si="5"/>
        <v>81430.652739127734</v>
      </c>
      <c r="Y17" s="76"/>
      <c r="Z17" s="76"/>
      <c r="AA17" s="76">
        <f t="shared" si="0"/>
        <v>1467.8645388999475</v>
      </c>
      <c r="AB17" s="77">
        <f t="shared" si="1"/>
        <v>1467.8645388999475</v>
      </c>
      <c r="AC17" s="77"/>
      <c r="AD17" s="78">
        <f t="shared" si="2"/>
        <v>0</v>
      </c>
      <c r="AE17" s="81"/>
      <c r="AF17" s="79"/>
      <c r="AG17" s="64"/>
      <c r="AH17" s="64"/>
      <c r="AI17" s="64"/>
      <c r="AJ17" s="64"/>
      <c r="AK17" s="64"/>
      <c r="AL17" s="64"/>
      <c r="AM17" s="64"/>
      <c r="AN17" s="64"/>
    </row>
    <row r="18" spans="1:40" hidden="1" x14ac:dyDescent="0.2">
      <c r="B18" s="60">
        <v>5</v>
      </c>
      <c r="C18" s="71">
        <f t="shared" si="6"/>
        <v>9</v>
      </c>
      <c r="D18" s="164">
        <f t="shared" si="7"/>
        <v>44470</v>
      </c>
      <c r="E18" s="268">
        <f t="shared" si="8"/>
        <v>44652</v>
      </c>
      <c r="F18" s="71">
        <f t="shared" si="9"/>
        <v>4</v>
      </c>
      <c r="G18" s="71">
        <f t="shared" si="3"/>
        <v>182</v>
      </c>
      <c r="H18" s="73">
        <f>'[2]Co cau+Tiendo'!I11</f>
        <v>1951805.3067339908</v>
      </c>
      <c r="I18" s="73">
        <f t="shared" si="12"/>
        <v>9516997.241988007</v>
      </c>
      <c r="J18" s="73"/>
      <c r="K18" s="73"/>
      <c r="L18" s="73"/>
      <c r="M18" s="74"/>
      <c r="N18" s="75">
        <f>[2]LIBOR!B13/100</f>
        <v>1.6995E-2</v>
      </c>
      <c r="O18" s="74">
        <f t="shared" si="11"/>
        <v>5.0000000000000001E-3</v>
      </c>
      <c r="P18" s="74">
        <f t="shared" si="4"/>
        <v>2.1995000000000001E-2</v>
      </c>
      <c r="Q18" s="74"/>
      <c r="R18" s="74"/>
      <c r="S18" s="74"/>
      <c r="T18" s="74"/>
      <c r="U18" s="76"/>
      <c r="V18" s="76"/>
      <c r="W18" s="76"/>
      <c r="X18" s="76">
        <f t="shared" si="5"/>
        <v>104376.42873816376</v>
      </c>
      <c r="Y18" s="76"/>
      <c r="Z18" s="76"/>
      <c r="AA18" s="76">
        <f t="shared" si="0"/>
        <v>0</v>
      </c>
      <c r="AB18" s="77">
        <f t="shared" si="1"/>
        <v>0</v>
      </c>
      <c r="AC18" s="77"/>
      <c r="AD18" s="78">
        <f t="shared" si="2"/>
        <v>0</v>
      </c>
      <c r="AE18" s="78">
        <f>SUM(AD18)+AD19</f>
        <v>0</v>
      </c>
      <c r="AF18" s="80">
        <f>AE18*[2]DieuKien!$D$18/1000000000</f>
        <v>0</v>
      </c>
      <c r="AG18" s="64"/>
      <c r="AH18" s="64"/>
      <c r="AI18" s="64"/>
      <c r="AJ18" s="64"/>
      <c r="AK18" s="64"/>
      <c r="AL18" s="64"/>
      <c r="AM18" s="64"/>
      <c r="AN18" s="64"/>
    </row>
    <row r="19" spans="1:40" hidden="1" x14ac:dyDescent="0.2">
      <c r="C19" s="71">
        <f t="shared" si="6"/>
        <v>10</v>
      </c>
      <c r="D19" s="164">
        <f t="shared" si="7"/>
        <v>44652</v>
      </c>
      <c r="E19" s="268">
        <f t="shared" si="8"/>
        <v>44835</v>
      </c>
      <c r="F19" s="71">
        <f t="shared" si="9"/>
        <v>4.5</v>
      </c>
      <c r="G19" s="71">
        <f t="shared" si="3"/>
        <v>183</v>
      </c>
      <c r="H19" s="73"/>
      <c r="I19" s="73">
        <f t="shared" si="12"/>
        <v>9621373.6707261708</v>
      </c>
      <c r="J19" s="73"/>
      <c r="K19" s="73"/>
      <c r="L19" s="73"/>
      <c r="M19" s="74"/>
      <c r="N19" s="75">
        <f>[2]LIBOR!B14/100</f>
        <v>1.7287500000000001E-2</v>
      </c>
      <c r="O19" s="74">
        <f t="shared" si="11"/>
        <v>5.0000000000000001E-3</v>
      </c>
      <c r="P19" s="74">
        <f t="shared" si="4"/>
        <v>2.2287500000000002E-2</v>
      </c>
      <c r="Q19" s="74"/>
      <c r="R19" s="74"/>
      <c r="S19" s="74"/>
      <c r="T19" s="74"/>
      <c r="U19" s="76"/>
      <c r="V19" s="76"/>
      <c r="W19" s="76"/>
      <c r="X19" s="76">
        <f t="shared" si="5"/>
        <v>107511.93128930041</v>
      </c>
      <c r="Y19" s="76"/>
      <c r="Z19" s="76"/>
      <c r="AA19" s="76"/>
      <c r="AB19" s="81"/>
      <c r="AC19" s="81"/>
      <c r="AD19" s="78">
        <f>U19+AB19+AC19</f>
        <v>0</v>
      </c>
      <c r="AE19" s="81"/>
      <c r="AF19" s="79"/>
      <c r="AG19" s="64"/>
      <c r="AH19" s="64"/>
      <c r="AI19" s="64"/>
      <c r="AJ19" s="64"/>
      <c r="AK19" s="64"/>
      <c r="AL19" s="64"/>
      <c r="AM19" s="64"/>
      <c r="AN19" s="64"/>
    </row>
    <row r="20" spans="1:40" hidden="1" x14ac:dyDescent="0.2">
      <c r="A20" s="60">
        <v>1</v>
      </c>
      <c r="B20" s="60">
        <v>6</v>
      </c>
      <c r="C20" s="71">
        <f t="shared" si="6"/>
        <v>11</v>
      </c>
      <c r="D20" s="164">
        <f t="shared" si="7"/>
        <v>44835</v>
      </c>
      <c r="E20" s="268">
        <f t="shared" si="8"/>
        <v>45017</v>
      </c>
      <c r="F20" s="71">
        <f t="shared" si="9"/>
        <v>5</v>
      </c>
      <c r="G20" s="71">
        <f t="shared" si="3"/>
        <v>182</v>
      </c>
      <c r="H20" s="73"/>
      <c r="I20" s="73">
        <f t="shared" si="12"/>
        <v>9728885.6020154711</v>
      </c>
      <c r="J20" s="73"/>
      <c r="K20" s="73"/>
      <c r="L20" s="71"/>
      <c r="M20" s="75"/>
      <c r="N20" s="75">
        <f>[2]LIBOR!B15/100</f>
        <v>1.7579999999999998E-2</v>
      </c>
      <c r="O20" s="74">
        <f t="shared" si="11"/>
        <v>5.0000000000000001E-3</v>
      </c>
      <c r="P20" s="74">
        <f t="shared" si="4"/>
        <v>2.2579999999999999E-2</v>
      </c>
      <c r="Q20" s="74"/>
      <c r="R20" s="74"/>
      <c r="S20" s="74"/>
      <c r="T20" s="74"/>
      <c r="U20" s="76"/>
      <c r="V20" s="76"/>
      <c r="W20" s="76"/>
      <c r="X20" s="82">
        <f>I20*P20*G20/365</f>
        <v>109538.18935511971</v>
      </c>
      <c r="Y20" s="76"/>
      <c r="Z20" s="76"/>
      <c r="AA20" s="82"/>
      <c r="AB20" s="81"/>
      <c r="AC20" s="81"/>
      <c r="AD20" s="78">
        <f>U20+AB20+AC20+X20</f>
        <v>109538.18935511971</v>
      </c>
      <c r="AE20" s="78">
        <f>SUM(AD20)+AD21</f>
        <v>223450.4250160387</v>
      </c>
      <c r="AF20" s="80">
        <f>AE20*[2]DieuKien!$D$18/1000000000</f>
        <v>4.9829444778576635</v>
      </c>
      <c r="AG20" s="64"/>
      <c r="AH20" s="64"/>
      <c r="AI20" s="64"/>
      <c r="AJ20" s="64"/>
      <c r="AK20" s="64"/>
      <c r="AL20" s="64"/>
      <c r="AM20" s="64"/>
      <c r="AN20" s="64"/>
    </row>
    <row r="21" spans="1:40" hidden="1" x14ac:dyDescent="0.2">
      <c r="A21" s="60">
        <v>2</v>
      </c>
      <c r="C21" s="71">
        <f t="shared" si="6"/>
        <v>12</v>
      </c>
      <c r="D21" s="164">
        <f t="shared" si="7"/>
        <v>45017</v>
      </c>
      <c r="E21" s="268">
        <f t="shared" si="8"/>
        <v>45200</v>
      </c>
      <c r="F21" s="71">
        <f t="shared" si="9"/>
        <v>5.5</v>
      </c>
      <c r="G21" s="71">
        <f t="shared" si="3"/>
        <v>183</v>
      </c>
      <c r="H21" s="71"/>
      <c r="I21" s="73">
        <f t="shared" si="12"/>
        <v>9838423.7913705911</v>
      </c>
      <c r="J21" s="73"/>
      <c r="K21" s="73"/>
      <c r="L21" s="71"/>
      <c r="M21" s="74"/>
      <c r="N21" s="75">
        <f>[2]LIBOR!B16/100</f>
        <v>1.8093333333333333E-2</v>
      </c>
      <c r="O21" s="74">
        <f t="shared" si="11"/>
        <v>5.0000000000000001E-3</v>
      </c>
      <c r="P21" s="74">
        <f t="shared" si="4"/>
        <v>2.3093333333333334E-2</v>
      </c>
      <c r="Q21" s="74"/>
      <c r="R21" s="74"/>
      <c r="S21" s="74"/>
      <c r="T21" s="74"/>
      <c r="U21" s="76"/>
      <c r="V21" s="76"/>
      <c r="W21" s="76"/>
      <c r="X21" s="76">
        <f>I21*P21*G21/365</f>
        <v>113912.235660919</v>
      </c>
      <c r="Y21" s="76"/>
      <c r="Z21" s="76"/>
      <c r="AA21" s="76"/>
      <c r="AB21" s="81"/>
      <c r="AC21" s="81"/>
      <c r="AD21" s="78">
        <f>U21+AB21+AC21+X21</f>
        <v>113912.235660919</v>
      </c>
      <c r="AE21" s="81"/>
      <c r="AF21" s="79"/>
      <c r="AG21" s="64"/>
      <c r="AH21" s="64"/>
      <c r="AI21" s="64"/>
      <c r="AJ21" s="64"/>
      <c r="AK21" s="64"/>
      <c r="AL21" s="64"/>
      <c r="AM21" s="64"/>
      <c r="AN21" s="64"/>
    </row>
    <row r="22" spans="1:40" s="69" customFormat="1" ht="15.5" hidden="1" customHeight="1" x14ac:dyDescent="0.2">
      <c r="C22" s="1" t="s">
        <v>35</v>
      </c>
      <c r="D22" s="163" t="s">
        <v>33</v>
      </c>
      <c r="E22" s="269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  <c r="AB22" s="1"/>
      <c r="AC22" s="1"/>
      <c r="AD22" s="1"/>
      <c r="AE22" s="1"/>
      <c r="AF22" s="79"/>
      <c r="AG22" s="70"/>
      <c r="AH22" s="70"/>
      <c r="AI22" s="70"/>
      <c r="AJ22" s="70"/>
      <c r="AK22" s="70"/>
      <c r="AL22" s="70"/>
      <c r="AM22" s="70"/>
      <c r="AN22" s="70"/>
    </row>
    <row r="23" spans="1:40" x14ac:dyDescent="0.2">
      <c r="A23" s="60">
        <v>3</v>
      </c>
      <c r="B23" s="60">
        <v>1</v>
      </c>
      <c r="C23" s="71">
        <v>0</v>
      </c>
      <c r="D23" s="165">
        <f>D21</f>
        <v>45017</v>
      </c>
      <c r="E23" s="268">
        <f t="shared" ref="E23" si="13">DATE(YEAR(D23),MONTH(D23)+6,DAY(D23))</f>
        <v>45200</v>
      </c>
      <c r="F23" s="71">
        <f>F20+0.5</f>
        <v>5.5</v>
      </c>
      <c r="G23" s="71">
        <f t="shared" ref="G23" si="14">E23-D23</f>
        <v>183</v>
      </c>
      <c r="H23" s="71"/>
      <c r="I23" s="158">
        <v>9990000.2277582921</v>
      </c>
      <c r="J23" s="158">
        <f>I23/38</f>
        <v>262894.74283574452</v>
      </c>
      <c r="K23" s="158">
        <v>9990000</v>
      </c>
      <c r="L23" s="86">
        <f>I23*0.7</f>
        <v>6993000.1594308037</v>
      </c>
      <c r="M23" s="75">
        <f>100%/38</f>
        <v>2.6315789473684209E-2</v>
      </c>
      <c r="N23" s="75">
        <f>[2]LIBOR!B16/100</f>
        <v>1.8093333333333333E-2</v>
      </c>
      <c r="O23" s="74">
        <f>O20</f>
        <v>5.0000000000000001E-3</v>
      </c>
      <c r="P23" s="74"/>
      <c r="Q23" s="83"/>
      <c r="R23" s="83"/>
      <c r="S23" s="83"/>
      <c r="T23" s="83"/>
      <c r="U23" s="82"/>
      <c r="V23" s="82"/>
      <c r="W23" s="82"/>
      <c r="X23" s="82"/>
      <c r="Y23" s="82"/>
      <c r="Z23" s="82"/>
      <c r="AA23" s="82"/>
      <c r="AB23" s="81"/>
      <c r="AC23" s="81"/>
      <c r="AD23" s="78">
        <f>U23+AB23+AC23+X23</f>
        <v>0</v>
      </c>
      <c r="AE23" s="78">
        <f>SUM(AD23)+AD24</f>
        <v>522769.63109076663</v>
      </c>
      <c r="AF23" s="85">
        <f>(V23+Y23+Y24+V24)*22300/10^6</f>
        <v>8099.579480750227</v>
      </c>
      <c r="AG23" s="253"/>
      <c r="AH23" s="64"/>
      <c r="AI23" s="64"/>
      <c r="AJ23" s="64"/>
      <c r="AK23" s="64"/>
      <c r="AL23" s="64"/>
      <c r="AM23" s="64"/>
      <c r="AN23" s="64"/>
    </row>
    <row r="24" spans="1:40" x14ac:dyDescent="0.2">
      <c r="A24" s="60">
        <v>3</v>
      </c>
      <c r="B24" s="60">
        <v>1</v>
      </c>
      <c r="C24" s="71">
        <v>1</v>
      </c>
      <c r="D24" s="165">
        <f>E21</f>
        <v>45200</v>
      </c>
      <c r="E24" s="268">
        <f t="shared" si="8"/>
        <v>45383</v>
      </c>
      <c r="F24" s="71">
        <f>F21+0.5</f>
        <v>6</v>
      </c>
      <c r="G24" s="71">
        <f t="shared" si="3"/>
        <v>183</v>
      </c>
      <c r="H24" s="71"/>
      <c r="I24" s="82">
        <f>I23-K24</f>
        <v>9727105.4909161869</v>
      </c>
      <c r="J24" s="82"/>
      <c r="K24" s="82">
        <f>K23/38</f>
        <v>262894.73684210528</v>
      </c>
      <c r="L24" s="86">
        <f t="shared" ref="L24:L60" si="15">I24*0.7</f>
        <v>6808973.8436413305</v>
      </c>
      <c r="M24" s="75">
        <f>100%/38</f>
        <v>2.6315789473684209E-2</v>
      </c>
      <c r="N24" s="75">
        <f>[2]LIBOR!B17/100</f>
        <v>1.8606666666666664E-2</v>
      </c>
      <c r="O24" s="74">
        <f>O21</f>
        <v>5.0000000000000001E-3</v>
      </c>
      <c r="P24" s="74">
        <f t="shared" si="4"/>
        <v>2.3606666666666665E-2</v>
      </c>
      <c r="Q24" s="83">
        <f>V24+Y24</f>
        <v>363209.84218610881</v>
      </c>
      <c r="R24" s="83">
        <v>184026</v>
      </c>
      <c r="S24" s="83">
        <f>Y24</f>
        <v>184026.31998502114</v>
      </c>
      <c r="T24" s="83">
        <v>82767</v>
      </c>
      <c r="U24" s="82">
        <f>$I$24*$M$24</f>
        <v>255976.46028726807</v>
      </c>
      <c r="V24" s="82">
        <f t="shared" ref="V24:V61" si="16">U24*70%</f>
        <v>179183.52220108765</v>
      </c>
      <c r="W24" s="82">
        <f>U24-V24</f>
        <v>76792.938086180424</v>
      </c>
      <c r="X24" s="82">
        <f t="shared" ref="X24:X61" si="17">Y24+Z24</f>
        <v>266793.17080349853</v>
      </c>
      <c r="Y24" s="82">
        <f>L23/38</f>
        <v>184026.31998502114</v>
      </c>
      <c r="Z24" s="82">
        <f>(E24-E23)*L23*P24/365</f>
        <v>82766.850818477411</v>
      </c>
      <c r="AA24" s="82"/>
      <c r="AB24" s="81"/>
      <c r="AC24" s="81"/>
      <c r="AD24" s="78">
        <f>U24+AB24+AC24+X24</f>
        <v>522769.63109076663</v>
      </c>
      <c r="AE24" s="78">
        <f>SUM(AD24)+AD25</f>
        <v>1045113.2918900322</v>
      </c>
      <c r="AF24" s="85">
        <f>(V24+Y24+Y25+V25)*22300/10^6</f>
        <v>16199.151825834482</v>
      </c>
      <c r="AG24" s="253"/>
      <c r="AH24" s="64"/>
      <c r="AI24" s="64"/>
      <c r="AJ24" s="64"/>
      <c r="AK24" s="64"/>
      <c r="AL24" s="64"/>
      <c r="AM24" s="64"/>
      <c r="AN24" s="64"/>
    </row>
    <row r="25" spans="1:40" x14ac:dyDescent="0.2">
      <c r="A25" s="60">
        <v>4</v>
      </c>
      <c r="C25" s="71">
        <f t="shared" si="6"/>
        <v>2</v>
      </c>
      <c r="D25" s="165">
        <f t="shared" si="7"/>
        <v>45383</v>
      </c>
      <c r="E25" s="268">
        <f t="shared" si="8"/>
        <v>45566</v>
      </c>
      <c r="F25" s="71">
        <f t="shared" si="9"/>
        <v>6.5</v>
      </c>
      <c r="G25" s="71">
        <f t="shared" si="3"/>
        <v>183</v>
      </c>
      <c r="H25" s="71"/>
      <c r="I25" s="82">
        <f t="shared" ref="I25:I60" si="18">I24-K25</f>
        <v>9464210.7540740818</v>
      </c>
      <c r="J25" s="82"/>
      <c r="K25" s="82">
        <f>K23/38</f>
        <v>262894.73684210528</v>
      </c>
      <c r="L25" s="86">
        <f t="shared" si="15"/>
        <v>6624947.5278518572</v>
      </c>
      <c r="M25" s="74">
        <f t="shared" ref="M25:M61" si="19">M24</f>
        <v>2.6315789473684209E-2</v>
      </c>
      <c r="N25" s="75">
        <f>[2]LIBOR!B18/100</f>
        <v>1.9119999999999998E-2</v>
      </c>
      <c r="O25" s="74">
        <f t="shared" si="11"/>
        <v>5.0000000000000001E-3</v>
      </c>
      <c r="P25" s="74">
        <f t="shared" si="4"/>
        <v>2.4119999999999999E-2</v>
      </c>
      <c r="Q25" s="83">
        <f>V25+V26+Y25+Y26</f>
        <v>726419.36438719649</v>
      </c>
      <c r="R25" s="83"/>
      <c r="S25" s="83"/>
      <c r="T25" s="83">
        <v>163715</v>
      </c>
      <c r="U25" s="82">
        <f t="shared" ref="U25:U61" si="20">U24</f>
        <v>255976.46028726807</v>
      </c>
      <c r="V25" s="82">
        <f t="shared" si="16"/>
        <v>179183.52220108765</v>
      </c>
      <c r="W25" s="82">
        <f t="shared" ref="W25:W64" si="21">U25-V25</f>
        <v>76792.938086180424</v>
      </c>
      <c r="X25" s="82">
        <f t="shared" si="17"/>
        <v>266367.20051199751</v>
      </c>
      <c r="Y25" s="82">
        <v>184026</v>
      </c>
      <c r="Z25" s="82">
        <f t="shared" ref="Z25:Z61" si="22">(E25-E24)*L24*P25/365</f>
        <v>82341.200511997493</v>
      </c>
      <c r="AA25" s="82"/>
      <c r="AB25" s="81"/>
      <c r="AC25" s="81"/>
      <c r="AD25" s="78">
        <f t="shared" ref="AD25:AD61" si="23">U25+X25+AB25+AC25</f>
        <v>522343.66079926561</v>
      </c>
      <c r="AE25" s="81"/>
      <c r="AF25" s="79"/>
      <c r="AG25" s="253"/>
      <c r="AH25" s="64"/>
      <c r="AI25" s="64"/>
      <c r="AJ25" s="64"/>
      <c r="AK25" s="64"/>
      <c r="AL25" s="64"/>
      <c r="AM25" s="64"/>
      <c r="AN25" s="64"/>
    </row>
    <row r="26" spans="1:40" x14ac:dyDescent="0.2">
      <c r="A26" s="60">
        <v>5</v>
      </c>
      <c r="B26" s="60">
        <v>8</v>
      </c>
      <c r="C26" s="71">
        <f t="shared" si="6"/>
        <v>3</v>
      </c>
      <c r="D26" s="165">
        <f t="shared" si="7"/>
        <v>45566</v>
      </c>
      <c r="E26" s="268">
        <f t="shared" si="8"/>
        <v>45748</v>
      </c>
      <c r="F26" s="71">
        <f t="shared" si="9"/>
        <v>7</v>
      </c>
      <c r="G26" s="71">
        <f t="shared" si="3"/>
        <v>182</v>
      </c>
      <c r="H26" s="71"/>
      <c r="I26" s="82">
        <f t="shared" si="18"/>
        <v>9201316.0172319766</v>
      </c>
      <c r="J26" s="82"/>
      <c r="K26" s="82">
        <f>K23/38</f>
        <v>262894.73684210528</v>
      </c>
      <c r="L26" s="86">
        <f t="shared" si="15"/>
        <v>6440921.2120623831</v>
      </c>
      <c r="M26" s="74">
        <f t="shared" si="19"/>
        <v>2.6315789473684209E-2</v>
      </c>
      <c r="N26" s="75">
        <f>[2]LIBOR!B19/100</f>
        <v>1.9633333333333329E-2</v>
      </c>
      <c r="O26" s="74">
        <f t="shared" si="11"/>
        <v>5.0000000000000001E-3</v>
      </c>
      <c r="P26" s="74">
        <f t="shared" si="4"/>
        <v>2.463333333333333E-2</v>
      </c>
      <c r="Q26" s="74"/>
      <c r="R26" s="74"/>
      <c r="S26" s="74"/>
      <c r="T26" s="74"/>
      <c r="U26" s="82">
        <f t="shared" si="20"/>
        <v>255976.46028726807</v>
      </c>
      <c r="V26" s="82">
        <f t="shared" si="16"/>
        <v>179183.52220108765</v>
      </c>
      <c r="W26" s="82">
        <f t="shared" si="21"/>
        <v>76792.938086180424</v>
      </c>
      <c r="X26" s="82">
        <f t="shared" si="17"/>
        <v>265400.03620429226</v>
      </c>
      <c r="Y26" s="82">
        <f>L23/38</f>
        <v>184026.31998502114</v>
      </c>
      <c r="Z26" s="82">
        <f t="shared" si="22"/>
        <v>81373.716219271126</v>
      </c>
      <c r="AA26" s="82"/>
      <c r="AB26" s="81"/>
      <c r="AC26" s="81"/>
      <c r="AD26" s="78">
        <f t="shared" si="23"/>
        <v>521376.49649156036</v>
      </c>
      <c r="AE26" s="78">
        <f>SUM(AD26)+AD27</f>
        <v>1042584.9996967732</v>
      </c>
      <c r="AF26" s="85">
        <f>(V26+Y26+Y27+V27)*22300/10^6</f>
        <v>16199.158961500454</v>
      </c>
      <c r="AG26" s="253"/>
      <c r="AH26" s="64"/>
      <c r="AI26" s="64"/>
      <c r="AJ26" s="64"/>
      <c r="AK26" s="64"/>
      <c r="AL26" s="64"/>
      <c r="AM26" s="64"/>
      <c r="AN26" s="64"/>
    </row>
    <row r="27" spans="1:40" x14ac:dyDescent="0.2">
      <c r="A27" s="60">
        <v>6</v>
      </c>
      <c r="C27" s="71">
        <f t="shared" si="6"/>
        <v>4</v>
      </c>
      <c r="D27" s="165">
        <f t="shared" si="7"/>
        <v>45748</v>
      </c>
      <c r="E27" s="268">
        <f t="shared" si="8"/>
        <v>45931</v>
      </c>
      <c r="F27" s="71">
        <f t="shared" si="9"/>
        <v>7.5</v>
      </c>
      <c r="G27" s="71">
        <f t="shared" si="3"/>
        <v>183</v>
      </c>
      <c r="H27" s="71"/>
      <c r="I27" s="82">
        <f t="shared" si="18"/>
        <v>8938421.2803898714</v>
      </c>
      <c r="J27" s="82"/>
      <c r="K27" s="82">
        <f>K23/38</f>
        <v>262894.73684210528</v>
      </c>
      <c r="L27" s="86">
        <f t="shared" si="15"/>
        <v>6256894.8962729098</v>
      </c>
      <c r="M27" s="74">
        <f t="shared" si="19"/>
        <v>2.6315789473684209E-2</v>
      </c>
      <c r="N27" s="75">
        <f>[2]LIBOR!B20/100</f>
        <v>2.0146666666666663E-2</v>
      </c>
      <c r="O27" s="74">
        <f t="shared" si="11"/>
        <v>5.0000000000000001E-3</v>
      </c>
      <c r="P27" s="74">
        <f t="shared" si="4"/>
        <v>2.5146666666666664E-2</v>
      </c>
      <c r="Q27" s="83">
        <f>V27+V28+Y27+Y28</f>
        <v>726419.68437221763</v>
      </c>
      <c r="R27" s="83">
        <v>368053</v>
      </c>
      <c r="S27" s="83">
        <f>Y27+Y28</f>
        <v>368052.63997004228</v>
      </c>
      <c r="T27" s="83">
        <v>161262</v>
      </c>
      <c r="U27" s="82">
        <f t="shared" si="20"/>
        <v>255976.46028726807</v>
      </c>
      <c r="V27" s="82">
        <f t="shared" si="16"/>
        <v>179183.52220108765</v>
      </c>
      <c r="W27" s="82">
        <f t="shared" si="21"/>
        <v>76792.938086180424</v>
      </c>
      <c r="X27" s="82">
        <f t="shared" si="17"/>
        <v>265232.04291794484</v>
      </c>
      <c r="Y27" s="82">
        <f>L23/38</f>
        <v>184026.31998502114</v>
      </c>
      <c r="Z27" s="82">
        <f t="shared" si="22"/>
        <v>81205.722932923716</v>
      </c>
      <c r="AA27" s="82"/>
      <c r="AB27" s="81"/>
      <c r="AC27" s="81"/>
      <c r="AD27" s="78">
        <f t="shared" si="23"/>
        <v>521208.50320521288</v>
      </c>
      <c r="AE27" s="81"/>
      <c r="AF27" s="79"/>
      <c r="AG27" s="253"/>
      <c r="AH27" s="64"/>
      <c r="AI27" s="64"/>
      <c r="AJ27" s="64"/>
      <c r="AK27" s="64"/>
      <c r="AL27" s="64"/>
      <c r="AM27" s="64"/>
      <c r="AN27" s="64"/>
    </row>
    <row r="28" spans="1:40" x14ac:dyDescent="0.2">
      <c r="A28" s="60">
        <v>7</v>
      </c>
      <c r="B28" s="60">
        <v>9</v>
      </c>
      <c r="C28" s="71">
        <f t="shared" si="6"/>
        <v>5</v>
      </c>
      <c r="D28" s="165">
        <f t="shared" si="7"/>
        <v>45931</v>
      </c>
      <c r="E28" s="268">
        <f t="shared" si="8"/>
        <v>46113</v>
      </c>
      <c r="F28" s="71">
        <f t="shared" si="9"/>
        <v>8</v>
      </c>
      <c r="G28" s="71">
        <f t="shared" si="3"/>
        <v>182</v>
      </c>
      <c r="H28" s="71"/>
      <c r="I28" s="82">
        <f t="shared" si="18"/>
        <v>8675526.5435477663</v>
      </c>
      <c r="J28" s="82"/>
      <c r="K28" s="82">
        <f>K23/38</f>
        <v>262894.73684210528</v>
      </c>
      <c r="L28" s="86">
        <f t="shared" si="15"/>
        <v>6072868.5804834357</v>
      </c>
      <c r="M28" s="74">
        <f t="shared" si="19"/>
        <v>2.6315789473684209E-2</v>
      </c>
      <c r="N28" s="75">
        <f>[2]LIBOR!B21/100</f>
        <v>2.0659999999999998E-2</v>
      </c>
      <c r="O28" s="74">
        <f t="shared" si="11"/>
        <v>5.0000000000000001E-3</v>
      </c>
      <c r="P28" s="74">
        <f t="shared" si="4"/>
        <v>2.5659999999999999E-2</v>
      </c>
      <c r="Q28" s="74"/>
      <c r="R28" s="83"/>
      <c r="S28" s="74"/>
      <c r="T28" s="74"/>
      <c r="U28" s="82">
        <f t="shared" si="20"/>
        <v>255976.46028726807</v>
      </c>
      <c r="V28" s="82">
        <f t="shared" si="16"/>
        <v>179183.52220108765</v>
      </c>
      <c r="W28" s="82">
        <f t="shared" si="21"/>
        <v>76792.938086180424</v>
      </c>
      <c r="X28" s="82">
        <f t="shared" si="17"/>
        <v>264082.34736305411</v>
      </c>
      <c r="Y28" s="82">
        <f>L23/38</f>
        <v>184026.31998502114</v>
      </c>
      <c r="Z28" s="82">
        <f t="shared" si="22"/>
        <v>80056.027378032974</v>
      </c>
      <c r="AA28" s="82"/>
      <c r="AB28" s="81"/>
      <c r="AC28" s="81"/>
      <c r="AD28" s="77">
        <f t="shared" si="23"/>
        <v>520058.80765032221</v>
      </c>
      <c r="AE28" s="78">
        <f>SUM(AD28)+AD29</f>
        <v>1039030.3092078869</v>
      </c>
      <c r="AF28" s="85">
        <f>(V28+Y28+Y29+V29)*22300/10^6</f>
        <v>16199.158961500454</v>
      </c>
      <c r="AG28" s="253"/>
      <c r="AH28" s="64"/>
      <c r="AI28" s="64"/>
      <c r="AJ28" s="64"/>
      <c r="AK28" s="64"/>
      <c r="AL28" s="64"/>
      <c r="AM28" s="64"/>
      <c r="AN28" s="64"/>
    </row>
    <row r="29" spans="1:40" x14ac:dyDescent="0.2">
      <c r="A29" s="60">
        <v>8</v>
      </c>
      <c r="C29" s="71">
        <f t="shared" si="6"/>
        <v>6</v>
      </c>
      <c r="D29" s="165">
        <f t="shared" si="7"/>
        <v>46113</v>
      </c>
      <c r="E29" s="268">
        <f t="shared" si="8"/>
        <v>46296</v>
      </c>
      <c r="F29" s="71">
        <f t="shared" si="9"/>
        <v>8.5</v>
      </c>
      <c r="G29" s="71">
        <f t="shared" si="3"/>
        <v>183</v>
      </c>
      <c r="H29" s="71"/>
      <c r="I29" s="82">
        <f t="shared" si="18"/>
        <v>8412631.8067056611</v>
      </c>
      <c r="J29" s="82"/>
      <c r="K29" s="82">
        <f>K23/38</f>
        <v>262894.73684210528</v>
      </c>
      <c r="L29" s="86">
        <f t="shared" si="15"/>
        <v>5888842.2646939624</v>
      </c>
      <c r="M29" s="74">
        <f t="shared" si="19"/>
        <v>2.6315789473684209E-2</v>
      </c>
      <c r="N29" s="75">
        <f>[2]LIBOR!B22/100</f>
        <v>2.0936E-2</v>
      </c>
      <c r="O29" s="74">
        <f t="shared" si="11"/>
        <v>5.0000000000000001E-3</v>
      </c>
      <c r="P29" s="74">
        <f t="shared" si="4"/>
        <v>2.5936000000000001E-2</v>
      </c>
      <c r="Q29" s="83">
        <f>V29+V30+Y29+Y30</f>
        <v>726419.68437221763</v>
      </c>
      <c r="R29" s="83">
        <v>368053</v>
      </c>
      <c r="S29" s="83">
        <f>Y29+Y30</f>
        <v>368052.63997004228</v>
      </c>
      <c r="T29" s="83">
        <v>155936</v>
      </c>
      <c r="U29" s="82">
        <f t="shared" si="20"/>
        <v>255976.46028726807</v>
      </c>
      <c r="V29" s="82">
        <f t="shared" si="16"/>
        <v>179183.52220108765</v>
      </c>
      <c r="W29" s="82">
        <f t="shared" si="21"/>
        <v>76792.938086180424</v>
      </c>
      <c r="X29" s="82">
        <f t="shared" si="17"/>
        <v>262995.04127029667</v>
      </c>
      <c r="Y29" s="82">
        <f>L23/38</f>
        <v>184026.31998502114</v>
      </c>
      <c r="Z29" s="82">
        <f t="shared" si="22"/>
        <v>78968.721285275518</v>
      </c>
      <c r="AA29" s="82"/>
      <c r="AB29" s="81"/>
      <c r="AC29" s="81"/>
      <c r="AD29" s="78">
        <f t="shared" si="23"/>
        <v>518971.50155756471</v>
      </c>
      <c r="AE29" s="81"/>
      <c r="AF29" s="79"/>
      <c r="AG29" s="253"/>
      <c r="AH29" s="64"/>
      <c r="AI29" s="64"/>
      <c r="AJ29" s="64"/>
      <c r="AK29" s="64"/>
      <c r="AL29" s="64"/>
      <c r="AM29" s="64"/>
      <c r="AN29" s="64"/>
    </row>
    <row r="30" spans="1:40" x14ac:dyDescent="0.2">
      <c r="A30" s="60">
        <v>9</v>
      </c>
      <c r="B30" s="60">
        <v>10</v>
      </c>
      <c r="C30" s="71">
        <f t="shared" si="6"/>
        <v>7</v>
      </c>
      <c r="D30" s="165">
        <f t="shared" si="7"/>
        <v>46296</v>
      </c>
      <c r="E30" s="268">
        <f t="shared" si="8"/>
        <v>46478</v>
      </c>
      <c r="F30" s="71">
        <f t="shared" si="9"/>
        <v>9</v>
      </c>
      <c r="G30" s="71">
        <f t="shared" si="3"/>
        <v>182</v>
      </c>
      <c r="H30" s="71"/>
      <c r="I30" s="82">
        <f t="shared" si="18"/>
        <v>8149737.069863556</v>
      </c>
      <c r="J30" s="82"/>
      <c r="K30" s="82">
        <f>K23/38</f>
        <v>262894.73684210528</v>
      </c>
      <c r="L30" s="86">
        <f t="shared" si="15"/>
        <v>5704815.9489044892</v>
      </c>
      <c r="M30" s="74">
        <f t="shared" si="19"/>
        <v>2.6315789473684209E-2</v>
      </c>
      <c r="N30" s="75">
        <f>[2]LIBOR!B23/100</f>
        <v>2.1211999999999998E-2</v>
      </c>
      <c r="O30" s="74">
        <f t="shared" si="11"/>
        <v>5.0000000000000001E-3</v>
      </c>
      <c r="P30" s="74">
        <f t="shared" si="4"/>
        <v>2.6211999999999999E-2</v>
      </c>
      <c r="Q30" s="74"/>
      <c r="R30" s="74"/>
      <c r="S30" s="74"/>
      <c r="T30" s="74"/>
      <c r="U30" s="82">
        <f t="shared" si="20"/>
        <v>255976.46028726807</v>
      </c>
      <c r="V30" s="82">
        <f t="shared" si="16"/>
        <v>179183.52220108765</v>
      </c>
      <c r="W30" s="82">
        <f t="shared" si="21"/>
        <v>76792.938086180424</v>
      </c>
      <c r="X30" s="82">
        <f t="shared" si="17"/>
        <v>260994.03693426162</v>
      </c>
      <c r="Y30" s="82">
        <f>L23/38</f>
        <v>184026.31998502114</v>
      </c>
      <c r="Z30" s="82">
        <f t="shared" si="22"/>
        <v>76967.716949240494</v>
      </c>
      <c r="AA30" s="82"/>
      <c r="AB30" s="81"/>
      <c r="AC30" s="81"/>
      <c r="AD30" s="78">
        <f t="shared" si="23"/>
        <v>516970.49722152972</v>
      </c>
      <c r="AE30" s="78">
        <f>SUM(AD30)+AD31</f>
        <v>1032734.8587770752</v>
      </c>
      <c r="AF30" s="85">
        <f>(V30+Y30+Y31+V31)*22300/10^6</f>
        <v>16199.158961500454</v>
      </c>
      <c r="AG30" s="253"/>
      <c r="AH30" s="64"/>
      <c r="AI30" s="64"/>
      <c r="AJ30" s="64"/>
      <c r="AK30" s="64"/>
      <c r="AL30" s="64"/>
      <c r="AM30" s="64"/>
      <c r="AN30" s="64"/>
    </row>
    <row r="31" spans="1:40" x14ac:dyDescent="0.2">
      <c r="A31" s="60">
        <v>10</v>
      </c>
      <c r="C31" s="71">
        <f t="shared" si="6"/>
        <v>8</v>
      </c>
      <c r="D31" s="165">
        <f t="shared" si="7"/>
        <v>46478</v>
      </c>
      <c r="E31" s="268">
        <f t="shared" si="8"/>
        <v>46661</v>
      </c>
      <c r="F31" s="71">
        <f t="shared" si="9"/>
        <v>9.5</v>
      </c>
      <c r="G31" s="71">
        <f t="shared" si="3"/>
        <v>183</v>
      </c>
      <c r="H31" s="71"/>
      <c r="I31" s="82">
        <f t="shared" si="18"/>
        <v>7886842.3330214508</v>
      </c>
      <c r="J31" s="82"/>
      <c r="K31" s="82">
        <f>K23/38</f>
        <v>262894.73684210528</v>
      </c>
      <c r="L31" s="86">
        <f t="shared" si="15"/>
        <v>5520789.633115015</v>
      </c>
      <c r="M31" s="74">
        <f t="shared" si="19"/>
        <v>2.6315789473684209E-2</v>
      </c>
      <c r="N31" s="75">
        <f>[2]LIBOR!B24/100</f>
        <v>2.1488E-2</v>
      </c>
      <c r="O31" s="74">
        <f t="shared" si="11"/>
        <v>5.0000000000000001E-3</v>
      </c>
      <c r="P31" s="74">
        <f t="shared" si="4"/>
        <v>2.6488000000000001E-2</v>
      </c>
      <c r="Q31" s="83">
        <f>V31+V32+Y31+Y32</f>
        <v>726419.68437221763</v>
      </c>
      <c r="R31" s="83">
        <v>368053</v>
      </c>
      <c r="S31" s="83">
        <f>Y31+Y32</f>
        <v>368052.63997004228</v>
      </c>
      <c r="T31" s="83">
        <v>149843</v>
      </c>
      <c r="U31" s="82">
        <f t="shared" si="20"/>
        <v>255976.46028726807</v>
      </c>
      <c r="V31" s="82">
        <f t="shared" si="16"/>
        <v>179183.52220108765</v>
      </c>
      <c r="W31" s="82">
        <f t="shared" si="21"/>
        <v>76792.938086180424</v>
      </c>
      <c r="X31" s="82">
        <f t="shared" si="17"/>
        <v>259787.90126827738</v>
      </c>
      <c r="Y31" s="82">
        <f>L23/38</f>
        <v>184026.31998502114</v>
      </c>
      <c r="Z31" s="82">
        <f t="shared" si="22"/>
        <v>75761.581283256237</v>
      </c>
      <c r="AA31" s="82"/>
      <c r="AB31" s="81"/>
      <c r="AC31" s="81"/>
      <c r="AD31" s="78">
        <f t="shared" si="23"/>
        <v>515764.36155554547</v>
      </c>
      <c r="AE31" s="81"/>
      <c r="AF31" s="79"/>
      <c r="AG31" s="253"/>
      <c r="AH31" s="64"/>
      <c r="AI31" s="64"/>
      <c r="AJ31" s="64"/>
      <c r="AK31" s="64"/>
      <c r="AL31" s="64"/>
      <c r="AM31" s="64"/>
      <c r="AN31" s="64"/>
    </row>
    <row r="32" spans="1:40" x14ac:dyDescent="0.2">
      <c r="A32" s="60">
        <v>11</v>
      </c>
      <c r="B32" s="60">
        <v>11</v>
      </c>
      <c r="C32" s="71">
        <f t="shared" si="6"/>
        <v>9</v>
      </c>
      <c r="D32" s="165">
        <f t="shared" si="7"/>
        <v>46661</v>
      </c>
      <c r="E32" s="268">
        <f t="shared" si="8"/>
        <v>46844</v>
      </c>
      <c r="F32" s="71">
        <f t="shared" si="9"/>
        <v>10</v>
      </c>
      <c r="G32" s="71">
        <f t="shared" si="3"/>
        <v>183</v>
      </c>
      <c r="H32" s="71"/>
      <c r="I32" s="82">
        <f t="shared" si="18"/>
        <v>7623947.5961793456</v>
      </c>
      <c r="J32" s="82"/>
      <c r="K32" s="82">
        <f>K23/38</f>
        <v>262894.73684210528</v>
      </c>
      <c r="L32" s="86">
        <f t="shared" si="15"/>
        <v>5336763.3173255417</v>
      </c>
      <c r="M32" s="74">
        <f t="shared" si="19"/>
        <v>2.6315789473684209E-2</v>
      </c>
      <c r="N32" s="75">
        <f>[2]LIBOR!B25/100</f>
        <v>2.1764000000000002E-2</v>
      </c>
      <c r="O32" s="74">
        <f t="shared" si="11"/>
        <v>5.0000000000000001E-3</v>
      </c>
      <c r="P32" s="74">
        <f t="shared" si="4"/>
        <v>2.6764000000000003E-2</v>
      </c>
      <c r="Q32" s="74"/>
      <c r="R32" s="74"/>
      <c r="S32" s="74"/>
      <c r="T32" s="74"/>
      <c r="U32" s="82">
        <f t="shared" si="20"/>
        <v>255976.46028726807</v>
      </c>
      <c r="V32" s="82">
        <f t="shared" si="16"/>
        <v>179183.52220108765</v>
      </c>
      <c r="W32" s="82">
        <f t="shared" si="21"/>
        <v>76792.938086180424</v>
      </c>
      <c r="X32" s="82">
        <f t="shared" si="17"/>
        <v>258107.93564131242</v>
      </c>
      <c r="Y32" s="82">
        <f>L23/38</f>
        <v>184026.31998502114</v>
      </c>
      <c r="Z32" s="82">
        <f t="shared" si="22"/>
        <v>74081.61565629128</v>
      </c>
      <c r="AA32" s="82"/>
      <c r="AB32" s="81"/>
      <c r="AC32" s="81"/>
      <c r="AD32" s="78">
        <f t="shared" si="23"/>
        <v>514084.39592858049</v>
      </c>
      <c r="AE32" s="78">
        <f>SUM(AD32)+AD33</f>
        <v>1026437.8958128926</v>
      </c>
      <c r="AF32" s="85">
        <f>(V32+Y32+Y33+V33)*22300/10^6</f>
        <v>16199.158961500454</v>
      </c>
      <c r="AG32" s="253"/>
      <c r="AH32" s="64"/>
      <c r="AI32" s="64"/>
      <c r="AJ32" s="64"/>
      <c r="AK32" s="64"/>
      <c r="AL32" s="64"/>
      <c r="AM32" s="64"/>
      <c r="AN32" s="64"/>
    </row>
    <row r="33" spans="1:40" x14ac:dyDescent="0.2">
      <c r="A33" s="60">
        <v>12</v>
      </c>
      <c r="C33" s="71">
        <f t="shared" si="6"/>
        <v>10</v>
      </c>
      <c r="D33" s="165">
        <f t="shared" si="7"/>
        <v>46844</v>
      </c>
      <c r="E33" s="268">
        <f t="shared" si="8"/>
        <v>47027</v>
      </c>
      <c r="F33" s="71">
        <f t="shared" si="9"/>
        <v>10.5</v>
      </c>
      <c r="G33" s="71">
        <f t="shared" si="3"/>
        <v>183</v>
      </c>
      <c r="H33" s="71"/>
      <c r="I33" s="82">
        <f t="shared" si="18"/>
        <v>7361052.8593372405</v>
      </c>
      <c r="J33" s="82"/>
      <c r="K33" s="82">
        <f>K23/38</f>
        <v>262894.73684210528</v>
      </c>
      <c r="L33" s="86">
        <f t="shared" si="15"/>
        <v>5152737.0015360676</v>
      </c>
      <c r="M33" s="74">
        <f t="shared" si="19"/>
        <v>2.6315789473684209E-2</v>
      </c>
      <c r="N33" s="75">
        <f>[2]LIBOR!B26/100</f>
        <v>2.2040000000000001E-2</v>
      </c>
      <c r="O33" s="74">
        <f t="shared" si="11"/>
        <v>5.0000000000000001E-3</v>
      </c>
      <c r="P33" s="74">
        <f t="shared" si="4"/>
        <v>2.7040000000000002E-2</v>
      </c>
      <c r="Q33" s="83">
        <f>R33+S33</f>
        <v>736105.63997004228</v>
      </c>
      <c r="R33" s="83">
        <v>368053</v>
      </c>
      <c r="S33" s="83">
        <f>Y33+Y34</f>
        <v>368052.63997004228</v>
      </c>
      <c r="T33" s="83">
        <v>142534</v>
      </c>
      <c r="U33" s="82">
        <f t="shared" si="20"/>
        <v>255976.46028726807</v>
      </c>
      <c r="V33" s="82">
        <f t="shared" si="16"/>
        <v>179183.52220108765</v>
      </c>
      <c r="W33" s="82">
        <f t="shared" si="21"/>
        <v>76792.938086180424</v>
      </c>
      <c r="X33" s="82">
        <f t="shared" si="17"/>
        <v>256377.03959704394</v>
      </c>
      <c r="Y33" s="82">
        <f>L23/38</f>
        <v>184026.31998502114</v>
      </c>
      <c r="Z33" s="82">
        <f t="shared" si="22"/>
        <v>72350.719612022818</v>
      </c>
      <c r="AA33" s="82"/>
      <c r="AB33" s="81"/>
      <c r="AC33" s="81"/>
      <c r="AD33" s="78">
        <f t="shared" si="23"/>
        <v>512353.49988431204</v>
      </c>
      <c r="AE33" s="81"/>
      <c r="AF33" s="79"/>
      <c r="AG33" s="253"/>
      <c r="AH33" s="64"/>
      <c r="AI33" s="64"/>
      <c r="AJ33" s="64"/>
      <c r="AK33" s="64"/>
      <c r="AL33" s="64"/>
      <c r="AM33" s="64"/>
      <c r="AN33" s="64"/>
    </row>
    <row r="34" spans="1:40" x14ac:dyDescent="0.2">
      <c r="A34" s="60">
        <v>13</v>
      </c>
      <c r="B34" s="60">
        <v>12</v>
      </c>
      <c r="C34" s="71">
        <f t="shared" si="6"/>
        <v>11</v>
      </c>
      <c r="D34" s="165">
        <f t="shared" si="7"/>
        <v>47027</v>
      </c>
      <c r="E34" s="268">
        <f t="shared" si="8"/>
        <v>47209</v>
      </c>
      <c r="F34" s="71">
        <f t="shared" si="9"/>
        <v>11</v>
      </c>
      <c r="G34" s="71">
        <f t="shared" si="3"/>
        <v>182</v>
      </c>
      <c r="H34" s="71"/>
      <c r="I34" s="82">
        <f t="shared" si="18"/>
        <v>7098158.1224951353</v>
      </c>
      <c r="J34" s="82"/>
      <c r="K34" s="82">
        <f>K23/38</f>
        <v>262894.73684210528</v>
      </c>
      <c r="L34" s="86">
        <f t="shared" si="15"/>
        <v>4968710.6857465943</v>
      </c>
      <c r="M34" s="74">
        <f t="shared" si="19"/>
        <v>2.6315789473684209E-2</v>
      </c>
      <c r="N34" s="75">
        <f>[2]LIBOR!B27/100</f>
        <v>2.2316000000000003E-2</v>
      </c>
      <c r="O34" s="74">
        <f t="shared" si="11"/>
        <v>5.0000000000000001E-3</v>
      </c>
      <c r="P34" s="74">
        <f t="shared" si="4"/>
        <v>2.7316000000000003E-2</v>
      </c>
      <c r="Q34" s="83">
        <f t="shared" ref="Q34:Q61" si="24">R34+S34</f>
        <v>0</v>
      </c>
      <c r="R34" s="74"/>
      <c r="S34" s="74"/>
      <c r="T34" s="74"/>
      <c r="U34" s="82">
        <f t="shared" si="20"/>
        <v>255976.46028726807</v>
      </c>
      <c r="V34" s="82">
        <f t="shared" si="16"/>
        <v>179183.52220108765</v>
      </c>
      <c r="W34" s="82">
        <f t="shared" si="21"/>
        <v>76792.938086180424</v>
      </c>
      <c r="X34" s="82">
        <f t="shared" si="17"/>
        <v>254209.59076852957</v>
      </c>
      <c r="Y34" s="82">
        <f>L23/38</f>
        <v>184026.31998502114</v>
      </c>
      <c r="Z34" s="82">
        <f t="shared" si="22"/>
        <v>70183.270783508429</v>
      </c>
      <c r="AA34" s="82"/>
      <c r="AB34" s="81"/>
      <c r="AC34" s="81"/>
      <c r="AD34" s="78">
        <f t="shared" si="23"/>
        <v>510186.05105579761</v>
      </c>
      <c r="AE34" s="78">
        <f>SUM(AD34)+AD35</f>
        <v>1018924.967599662</v>
      </c>
      <c r="AF34" s="85">
        <f>(V34+Y34+Y35+V35)*22300/10^6</f>
        <v>16199.158961500454</v>
      </c>
      <c r="AG34" s="253"/>
      <c r="AH34" s="64"/>
      <c r="AI34" s="64"/>
      <c r="AJ34" s="64"/>
      <c r="AK34" s="64"/>
      <c r="AL34" s="64"/>
      <c r="AM34" s="64"/>
      <c r="AN34" s="64"/>
    </row>
    <row r="35" spans="1:40" x14ac:dyDescent="0.2">
      <c r="A35" s="60">
        <v>14</v>
      </c>
      <c r="C35" s="71">
        <f t="shared" si="6"/>
        <v>12</v>
      </c>
      <c r="D35" s="165">
        <f t="shared" si="7"/>
        <v>47209</v>
      </c>
      <c r="E35" s="268">
        <f t="shared" si="8"/>
        <v>47392</v>
      </c>
      <c r="F35" s="71">
        <f t="shared" si="9"/>
        <v>11.5</v>
      </c>
      <c r="G35" s="71">
        <f t="shared" si="3"/>
        <v>183</v>
      </c>
      <c r="H35" s="71"/>
      <c r="I35" s="82">
        <f t="shared" si="18"/>
        <v>6835263.3856530301</v>
      </c>
      <c r="J35" s="82"/>
      <c r="K35" s="82">
        <f>K23/38</f>
        <v>262894.73684210528</v>
      </c>
      <c r="L35" s="86">
        <f t="shared" si="15"/>
        <v>4784684.3699571211</v>
      </c>
      <c r="M35" s="74">
        <f t="shared" si="19"/>
        <v>2.6315789473684209E-2</v>
      </c>
      <c r="N35" s="75">
        <f>[2]LIBOR!B28/100</f>
        <v>2.2592000000000004E-2</v>
      </c>
      <c r="O35" s="74">
        <f t="shared" si="11"/>
        <v>5.0000000000000001E-3</v>
      </c>
      <c r="P35" s="74">
        <f t="shared" si="4"/>
        <v>2.7592000000000005E-2</v>
      </c>
      <c r="Q35" s="83">
        <f t="shared" si="24"/>
        <v>736105.63997004228</v>
      </c>
      <c r="R35" s="83">
        <v>368053</v>
      </c>
      <c r="S35" s="86">
        <f>Y35+Y36</f>
        <v>368052.63997004228</v>
      </c>
      <c r="T35" s="83">
        <v>135223</v>
      </c>
      <c r="U35" s="82">
        <f t="shared" si="20"/>
        <v>255976.46028726807</v>
      </c>
      <c r="V35" s="82">
        <f t="shared" si="16"/>
        <v>179183.52220108765</v>
      </c>
      <c r="W35" s="82">
        <f t="shared" si="21"/>
        <v>76792.938086180424</v>
      </c>
      <c r="X35" s="82">
        <f t="shared" si="17"/>
        <v>252762.4562565964</v>
      </c>
      <c r="Y35" s="82">
        <f>L23/38</f>
        <v>184026.31998502114</v>
      </c>
      <c r="Z35" s="82">
        <f t="shared" si="22"/>
        <v>68736.136271575262</v>
      </c>
      <c r="AA35" s="82"/>
      <c r="AB35" s="81"/>
      <c r="AC35" s="81"/>
      <c r="AD35" s="78">
        <f t="shared" si="23"/>
        <v>508738.91654386447</v>
      </c>
      <c r="AE35" s="81"/>
      <c r="AF35" s="79"/>
      <c r="AG35" s="253"/>
      <c r="AH35" s="64"/>
      <c r="AI35" s="64"/>
      <c r="AJ35" s="64"/>
      <c r="AK35" s="64"/>
      <c r="AL35" s="64"/>
      <c r="AM35" s="64"/>
      <c r="AN35" s="64"/>
    </row>
    <row r="36" spans="1:40" x14ac:dyDescent="0.2">
      <c r="A36" s="60">
        <v>15</v>
      </c>
      <c r="B36" s="60">
        <v>13</v>
      </c>
      <c r="C36" s="71">
        <f t="shared" si="6"/>
        <v>13</v>
      </c>
      <c r="D36" s="165">
        <f t="shared" si="7"/>
        <v>47392</v>
      </c>
      <c r="E36" s="268">
        <f t="shared" si="8"/>
        <v>47574</v>
      </c>
      <c r="F36" s="71">
        <f t="shared" si="9"/>
        <v>12</v>
      </c>
      <c r="G36" s="71">
        <f t="shared" si="3"/>
        <v>182</v>
      </c>
      <c r="H36" s="71"/>
      <c r="I36" s="82">
        <f t="shared" si="18"/>
        <v>6572368.648810925</v>
      </c>
      <c r="J36" s="82"/>
      <c r="K36" s="82">
        <f>K23/38</f>
        <v>262894.73684210528</v>
      </c>
      <c r="L36" s="86">
        <f t="shared" si="15"/>
        <v>4600658.0541676469</v>
      </c>
      <c r="M36" s="74">
        <f t="shared" si="19"/>
        <v>2.6315789473684209E-2</v>
      </c>
      <c r="N36" s="75">
        <f>[2]LIBOR!B29/100</f>
        <v>2.2868000000000003E-2</v>
      </c>
      <c r="O36" s="74">
        <f t="shared" si="11"/>
        <v>5.0000000000000001E-3</v>
      </c>
      <c r="P36" s="74">
        <f t="shared" si="4"/>
        <v>2.7868000000000004E-2</v>
      </c>
      <c r="Q36" s="83">
        <f t="shared" si="24"/>
        <v>0</v>
      </c>
      <c r="R36" s="74"/>
      <c r="S36" s="74"/>
      <c r="T36" s="74"/>
      <c r="U36" s="82">
        <f t="shared" si="20"/>
        <v>255976.46028726807</v>
      </c>
      <c r="V36" s="82">
        <f t="shared" si="16"/>
        <v>179183.52220108765</v>
      </c>
      <c r="W36" s="82">
        <f t="shared" si="21"/>
        <v>76792.938086180424</v>
      </c>
      <c r="X36" s="82">
        <f t="shared" si="17"/>
        <v>250513.45503159001</v>
      </c>
      <c r="Y36" s="82">
        <f t="shared" ref="Y36:Y61" si="25">Y35</f>
        <v>184026.31998502114</v>
      </c>
      <c r="Z36" s="82">
        <f t="shared" si="22"/>
        <v>66487.135046568874</v>
      </c>
      <c r="AA36" s="82"/>
      <c r="AB36" s="81"/>
      <c r="AC36" s="81"/>
      <c r="AD36" s="78">
        <f t="shared" si="23"/>
        <v>506489.91531885811</v>
      </c>
      <c r="AE36" s="78">
        <f>SUM(AD36)+AD37</f>
        <v>1011410.5268530609</v>
      </c>
      <c r="AF36" s="85">
        <f>(V36+Y36+Y37+V37)*22300/10^6</f>
        <v>16199.158961500454</v>
      </c>
      <c r="AG36" s="253"/>
      <c r="AH36" s="64"/>
      <c r="AI36" s="64"/>
      <c r="AJ36" s="64"/>
      <c r="AK36" s="64"/>
      <c r="AL36" s="64"/>
      <c r="AM36" s="64"/>
      <c r="AN36" s="64"/>
    </row>
    <row r="37" spans="1:40" x14ac:dyDescent="0.2">
      <c r="A37" s="60">
        <v>16</v>
      </c>
      <c r="C37" s="71">
        <f t="shared" si="6"/>
        <v>14</v>
      </c>
      <c r="D37" s="165">
        <f t="shared" si="7"/>
        <v>47574</v>
      </c>
      <c r="E37" s="268">
        <f t="shared" si="8"/>
        <v>47757</v>
      </c>
      <c r="F37" s="71">
        <f t="shared" si="9"/>
        <v>12.5</v>
      </c>
      <c r="G37" s="71">
        <f t="shared" si="3"/>
        <v>183</v>
      </c>
      <c r="H37" s="71"/>
      <c r="I37" s="82">
        <f t="shared" si="18"/>
        <v>6309473.9059751807</v>
      </c>
      <c r="J37" s="82"/>
      <c r="K37" s="82">
        <f>I23/38</f>
        <v>262894.74283574452</v>
      </c>
      <c r="L37" s="86">
        <f t="shared" si="15"/>
        <v>4416631.734182626</v>
      </c>
      <c r="M37" s="74">
        <f t="shared" si="19"/>
        <v>2.6315789473684209E-2</v>
      </c>
      <c r="N37" s="75">
        <f>[2]LIBOR!B30/100</f>
        <v>2.3144000000000005E-2</v>
      </c>
      <c r="O37" s="74">
        <f t="shared" si="11"/>
        <v>5.0000000000000001E-3</v>
      </c>
      <c r="P37" s="74">
        <f t="shared" si="4"/>
        <v>2.8144000000000006E-2</v>
      </c>
      <c r="Q37" s="83">
        <f t="shared" si="24"/>
        <v>736105.63997004228</v>
      </c>
      <c r="R37" s="83">
        <v>368053</v>
      </c>
      <c r="S37" s="86">
        <f>Y37+Y38</f>
        <v>368052.63997004228</v>
      </c>
      <c r="T37" s="83">
        <v>127506</v>
      </c>
      <c r="U37" s="82">
        <f t="shared" si="20"/>
        <v>255976.46028726807</v>
      </c>
      <c r="V37" s="82">
        <f t="shared" si="16"/>
        <v>179183.52220108765</v>
      </c>
      <c r="W37" s="82">
        <f t="shared" si="21"/>
        <v>76792.938086180424</v>
      </c>
      <c r="X37" s="82">
        <f t="shared" si="17"/>
        <v>248944.15124693472</v>
      </c>
      <c r="Y37" s="82">
        <f t="shared" si="25"/>
        <v>184026.31998502114</v>
      </c>
      <c r="Z37" s="82">
        <f t="shared" si="22"/>
        <v>64917.831261913569</v>
      </c>
      <c r="AA37" s="82"/>
      <c r="AB37" s="81"/>
      <c r="AC37" s="81"/>
      <c r="AD37" s="78">
        <f t="shared" si="23"/>
        <v>504920.61153420282</v>
      </c>
      <c r="AE37" s="81"/>
      <c r="AF37" s="79"/>
      <c r="AG37" s="253"/>
      <c r="AH37" s="64"/>
      <c r="AI37" s="64"/>
      <c r="AJ37" s="64"/>
      <c r="AK37" s="64"/>
      <c r="AL37" s="64"/>
      <c r="AM37" s="64"/>
      <c r="AN37" s="64"/>
    </row>
    <row r="38" spans="1:40" x14ac:dyDescent="0.2">
      <c r="A38" s="60">
        <v>17</v>
      </c>
      <c r="B38" s="60">
        <v>14</v>
      </c>
      <c r="C38" s="71">
        <f t="shared" si="6"/>
        <v>15</v>
      </c>
      <c r="D38" s="165">
        <f t="shared" si="7"/>
        <v>47757</v>
      </c>
      <c r="E38" s="268">
        <f t="shared" si="8"/>
        <v>47939</v>
      </c>
      <c r="F38" s="71">
        <f t="shared" si="9"/>
        <v>13</v>
      </c>
      <c r="G38" s="71">
        <f t="shared" si="3"/>
        <v>182</v>
      </c>
      <c r="H38" s="71"/>
      <c r="I38" s="82">
        <f t="shared" si="18"/>
        <v>6046579.1631394364</v>
      </c>
      <c r="J38" s="82"/>
      <c r="K38" s="82">
        <f>I23/38</f>
        <v>262894.74283574452</v>
      </c>
      <c r="L38" s="86">
        <f t="shared" si="15"/>
        <v>4232605.4141976051</v>
      </c>
      <c r="M38" s="74">
        <f t="shared" si="19"/>
        <v>2.6315789473684209E-2</v>
      </c>
      <c r="N38" s="75">
        <f>[2]LIBOR!B31/100</f>
        <v>2.342E-2</v>
      </c>
      <c r="O38" s="74">
        <f t="shared" si="11"/>
        <v>5.0000000000000001E-3</v>
      </c>
      <c r="P38" s="74">
        <f t="shared" si="4"/>
        <v>2.8420000000000001E-2</v>
      </c>
      <c r="Q38" s="83">
        <f t="shared" si="24"/>
        <v>0</v>
      </c>
      <c r="R38" s="74"/>
      <c r="S38" s="74"/>
      <c r="T38" s="83"/>
      <c r="U38" s="82">
        <f t="shared" si="20"/>
        <v>255976.46028726807</v>
      </c>
      <c r="V38" s="82">
        <f t="shared" si="16"/>
        <v>179183.52220108765</v>
      </c>
      <c r="W38" s="82">
        <f t="shared" si="21"/>
        <v>76792.938086180424</v>
      </c>
      <c r="X38" s="82">
        <f t="shared" si="17"/>
        <v>246614.71079914604</v>
      </c>
      <c r="Y38" s="82">
        <f t="shared" si="25"/>
        <v>184026.31998502114</v>
      </c>
      <c r="Z38" s="82">
        <f t="shared" si="22"/>
        <v>62588.390814124883</v>
      </c>
      <c r="AA38" s="82"/>
      <c r="AB38" s="81"/>
      <c r="AC38" s="81"/>
      <c r="AD38" s="78">
        <f t="shared" si="23"/>
        <v>502591.17108641414</v>
      </c>
      <c r="AE38" s="78">
        <f>SUM(AD38)+AD39</f>
        <v>1003171.4407015097</v>
      </c>
      <c r="AF38" s="85">
        <f>(V38+Y38+Y39+V39)*22300/10^6</f>
        <v>16199.158961500454</v>
      </c>
      <c r="AG38" s="253"/>
      <c r="AH38" s="64"/>
      <c r="AI38" s="64"/>
      <c r="AJ38" s="64"/>
      <c r="AK38" s="64"/>
      <c r="AL38" s="64"/>
      <c r="AM38" s="64"/>
      <c r="AN38" s="64"/>
    </row>
    <row r="39" spans="1:40" x14ac:dyDescent="0.2">
      <c r="A39" s="60">
        <v>18</v>
      </c>
      <c r="C39" s="71">
        <f t="shared" si="6"/>
        <v>16</v>
      </c>
      <c r="D39" s="165">
        <f t="shared" si="7"/>
        <v>47939</v>
      </c>
      <c r="E39" s="268">
        <f t="shared" si="8"/>
        <v>48122</v>
      </c>
      <c r="F39" s="71">
        <f t="shared" si="9"/>
        <v>13.5</v>
      </c>
      <c r="G39" s="71">
        <f t="shared" si="3"/>
        <v>183</v>
      </c>
      <c r="H39" s="71"/>
      <c r="I39" s="82">
        <f t="shared" si="18"/>
        <v>5783684.4203036921</v>
      </c>
      <c r="J39" s="82"/>
      <c r="K39" s="82">
        <f>I23/38</f>
        <v>262894.74283574452</v>
      </c>
      <c r="L39" s="86">
        <f t="shared" si="15"/>
        <v>4048579.0942125842</v>
      </c>
      <c r="M39" s="74">
        <f t="shared" si="19"/>
        <v>2.6315789473684209E-2</v>
      </c>
      <c r="N39" s="75">
        <f>[2]LIBOR!B32/100</f>
        <v>2.3546000000000001E-2</v>
      </c>
      <c r="O39" s="74">
        <f t="shared" si="11"/>
        <v>5.0000000000000001E-3</v>
      </c>
      <c r="P39" s="74">
        <f t="shared" si="4"/>
        <v>2.8546000000000002E-2</v>
      </c>
      <c r="Q39" s="83">
        <f t="shared" si="24"/>
        <v>736105.63997004228</v>
      </c>
      <c r="R39" s="83">
        <v>368053</v>
      </c>
      <c r="S39" s="86">
        <f>Y39+Y40</f>
        <v>368052.63997004228</v>
      </c>
      <c r="T39" s="83">
        <v>118777</v>
      </c>
      <c r="U39" s="82">
        <f t="shared" si="20"/>
        <v>255976.46028726807</v>
      </c>
      <c r="V39" s="82">
        <f t="shared" si="16"/>
        <v>179183.52220108765</v>
      </c>
      <c r="W39" s="82">
        <f t="shared" si="21"/>
        <v>76792.938086180424</v>
      </c>
      <c r="X39" s="82">
        <f t="shared" si="17"/>
        <v>244603.8093278275</v>
      </c>
      <c r="Y39" s="82">
        <f t="shared" si="25"/>
        <v>184026.31998502114</v>
      </c>
      <c r="Z39" s="82">
        <f t="shared" si="22"/>
        <v>60577.489342806373</v>
      </c>
      <c r="AA39" s="82"/>
      <c r="AB39" s="81"/>
      <c r="AC39" s="81"/>
      <c r="AD39" s="78">
        <f t="shared" si="23"/>
        <v>500580.26961509557</v>
      </c>
      <c r="AE39" s="81"/>
      <c r="AF39" s="79"/>
      <c r="AG39" s="253"/>
      <c r="AH39" s="64"/>
      <c r="AI39" s="64"/>
      <c r="AJ39" s="64"/>
      <c r="AK39" s="64"/>
      <c r="AL39" s="64"/>
      <c r="AM39" s="64"/>
      <c r="AN39" s="64"/>
    </row>
    <row r="40" spans="1:40" x14ac:dyDescent="0.2">
      <c r="A40" s="60">
        <v>19</v>
      </c>
      <c r="B40" s="60">
        <v>15</v>
      </c>
      <c r="C40" s="71">
        <f t="shared" si="6"/>
        <v>17</v>
      </c>
      <c r="D40" s="165">
        <f t="shared" si="7"/>
        <v>48122</v>
      </c>
      <c r="E40" s="268">
        <f t="shared" si="8"/>
        <v>48305</v>
      </c>
      <c r="F40" s="71">
        <f t="shared" si="9"/>
        <v>14</v>
      </c>
      <c r="G40" s="71">
        <f t="shared" si="3"/>
        <v>183</v>
      </c>
      <c r="H40" s="71"/>
      <c r="I40" s="82">
        <f t="shared" si="18"/>
        <v>5520789.6774679478</v>
      </c>
      <c r="J40" s="82"/>
      <c r="K40" s="82">
        <f>I23/38</f>
        <v>262894.74283574452</v>
      </c>
      <c r="L40" s="86">
        <f t="shared" si="15"/>
        <v>3864552.7742275633</v>
      </c>
      <c r="M40" s="74">
        <f t="shared" si="19"/>
        <v>2.6315789473684209E-2</v>
      </c>
      <c r="N40" s="75">
        <f>[2]LIBOR!B33/100</f>
        <v>2.3671999999999999E-2</v>
      </c>
      <c r="O40" s="74">
        <f t="shared" si="11"/>
        <v>5.0000000000000001E-3</v>
      </c>
      <c r="P40" s="74">
        <f t="shared" si="4"/>
        <v>2.8672E-2</v>
      </c>
      <c r="Q40" s="83">
        <f t="shared" si="24"/>
        <v>0</v>
      </c>
      <c r="R40" s="74"/>
      <c r="S40" s="74"/>
      <c r="T40" s="83"/>
      <c r="U40" s="82">
        <f t="shared" si="20"/>
        <v>255976.46028726807</v>
      </c>
      <c r="V40" s="82">
        <f t="shared" si="16"/>
        <v>179183.52220108765</v>
      </c>
      <c r="W40" s="82">
        <f t="shared" si="21"/>
        <v>76792.938086180424</v>
      </c>
      <c r="X40" s="82">
        <f t="shared" si="17"/>
        <v>242225.76475607639</v>
      </c>
      <c r="Y40" s="82">
        <f t="shared" si="25"/>
        <v>184026.31998502114</v>
      </c>
      <c r="Z40" s="82">
        <f t="shared" si="22"/>
        <v>58199.444771055256</v>
      </c>
      <c r="AA40" s="82"/>
      <c r="AB40" s="81"/>
      <c r="AC40" s="81"/>
      <c r="AD40" s="78">
        <f t="shared" si="23"/>
        <v>498202.22504334443</v>
      </c>
      <c r="AE40" s="78">
        <f>SUM(AD40)+AD41</f>
        <v>994003.15467172558</v>
      </c>
      <c r="AF40" s="85">
        <f>(V40+Y40+Y41+V41)*22300/10^6</f>
        <v>16199.158961500454</v>
      </c>
      <c r="AG40" s="253"/>
      <c r="AH40" s="64"/>
      <c r="AI40" s="64"/>
      <c r="AJ40" s="64"/>
      <c r="AK40" s="64"/>
      <c r="AL40" s="64"/>
      <c r="AM40" s="64"/>
      <c r="AN40" s="64"/>
    </row>
    <row r="41" spans="1:40" x14ac:dyDescent="0.2">
      <c r="A41" s="60">
        <v>20</v>
      </c>
      <c r="C41" s="71">
        <f t="shared" si="6"/>
        <v>18</v>
      </c>
      <c r="D41" s="165">
        <f t="shared" si="7"/>
        <v>48305</v>
      </c>
      <c r="E41" s="268">
        <f t="shared" si="8"/>
        <v>48488</v>
      </c>
      <c r="F41" s="71">
        <f t="shared" si="9"/>
        <v>14.5</v>
      </c>
      <c r="G41" s="71">
        <f t="shared" si="3"/>
        <v>183</v>
      </c>
      <c r="H41" s="71"/>
      <c r="I41" s="82">
        <f t="shared" si="18"/>
        <v>5257894.9346322035</v>
      </c>
      <c r="J41" s="82"/>
      <c r="K41" s="82">
        <f>I23/38</f>
        <v>262894.74283574452</v>
      </c>
      <c r="L41" s="86">
        <f t="shared" si="15"/>
        <v>3680526.4542425424</v>
      </c>
      <c r="M41" s="74">
        <f t="shared" si="19"/>
        <v>2.6315789473684209E-2</v>
      </c>
      <c r="N41" s="75">
        <f>[2]LIBOR!B34/100</f>
        <v>2.3798E-2</v>
      </c>
      <c r="O41" s="74">
        <f t="shared" si="11"/>
        <v>5.0000000000000001E-3</v>
      </c>
      <c r="P41" s="74">
        <f t="shared" si="4"/>
        <v>2.8798000000000001E-2</v>
      </c>
      <c r="Q41" s="83">
        <f t="shared" si="24"/>
        <v>726419.68437221763</v>
      </c>
      <c r="R41" s="86">
        <f>V41+V42</f>
        <v>358367.04440217529</v>
      </c>
      <c r="S41" s="86">
        <f>Y41+Y42</f>
        <v>368052.63997004228</v>
      </c>
      <c r="T41" s="83">
        <v>108880</v>
      </c>
      <c r="U41" s="82">
        <f>U40</f>
        <v>255976.46028726807</v>
      </c>
      <c r="V41" s="82">
        <f t="shared" si="16"/>
        <v>179183.52220108765</v>
      </c>
      <c r="W41" s="82">
        <f t="shared" si="21"/>
        <v>76792.938086180424</v>
      </c>
      <c r="X41" s="82">
        <f t="shared" si="17"/>
        <v>239824.46934111314</v>
      </c>
      <c r="Y41" s="82">
        <f t="shared" si="25"/>
        <v>184026.31998502114</v>
      </c>
      <c r="Z41" s="82">
        <f t="shared" si="22"/>
        <v>55798.149356091999</v>
      </c>
      <c r="AA41" s="82"/>
      <c r="AB41" s="81"/>
      <c r="AC41" s="81"/>
      <c r="AD41" s="78">
        <f t="shared" si="23"/>
        <v>495800.92962838121</v>
      </c>
      <c r="AE41" s="81"/>
      <c r="AF41" s="79"/>
      <c r="AG41" s="253"/>
      <c r="AH41" s="64"/>
      <c r="AI41" s="64"/>
      <c r="AJ41" s="64"/>
      <c r="AK41" s="64"/>
      <c r="AL41" s="64"/>
      <c r="AM41" s="64"/>
      <c r="AN41" s="64"/>
    </row>
    <row r="42" spans="1:40" x14ac:dyDescent="0.2">
      <c r="A42" s="60">
        <v>21</v>
      </c>
      <c r="B42" s="60">
        <v>16</v>
      </c>
      <c r="C42" s="71">
        <f t="shared" si="6"/>
        <v>19</v>
      </c>
      <c r="D42" s="165">
        <f t="shared" si="7"/>
        <v>48488</v>
      </c>
      <c r="E42" s="268">
        <f t="shared" si="8"/>
        <v>48670</v>
      </c>
      <c r="F42" s="71">
        <f t="shared" si="9"/>
        <v>15</v>
      </c>
      <c r="G42" s="71">
        <f t="shared" si="3"/>
        <v>182</v>
      </c>
      <c r="H42" s="71"/>
      <c r="I42" s="82">
        <f t="shared" si="18"/>
        <v>4995000.1917964593</v>
      </c>
      <c r="J42" s="82"/>
      <c r="K42" s="82">
        <f>I23/38</f>
        <v>262894.74283574452</v>
      </c>
      <c r="L42" s="86">
        <f t="shared" si="15"/>
        <v>3496500.1342575215</v>
      </c>
      <c r="M42" s="74">
        <f t="shared" si="19"/>
        <v>2.6315789473684209E-2</v>
      </c>
      <c r="N42" s="75">
        <f>[2]LIBOR!B35/100</f>
        <v>2.3923999999999997E-2</v>
      </c>
      <c r="O42" s="74">
        <f t="shared" si="11"/>
        <v>5.0000000000000001E-3</v>
      </c>
      <c r="P42" s="74">
        <f t="shared" si="4"/>
        <v>2.8923999999999998E-2</v>
      </c>
      <c r="Q42" s="83">
        <f t="shared" si="24"/>
        <v>0</v>
      </c>
      <c r="R42" s="74"/>
      <c r="S42" s="74"/>
      <c r="T42" s="83"/>
      <c r="U42" s="82">
        <f t="shared" si="20"/>
        <v>255976.46028726807</v>
      </c>
      <c r="V42" s="82">
        <f t="shared" si="16"/>
        <v>179183.52220108765</v>
      </c>
      <c r="W42" s="82">
        <f t="shared" si="21"/>
        <v>76792.938086180424</v>
      </c>
      <c r="X42" s="82">
        <f t="shared" si="17"/>
        <v>237108.26404961583</v>
      </c>
      <c r="Y42" s="82">
        <f t="shared" si="25"/>
        <v>184026.31998502114</v>
      </c>
      <c r="Z42" s="82">
        <f t="shared" si="22"/>
        <v>53081.944064594674</v>
      </c>
      <c r="AA42" s="82"/>
      <c r="AB42" s="81"/>
      <c r="AC42" s="81"/>
      <c r="AD42" s="78">
        <f t="shared" si="23"/>
        <v>493084.72433688387</v>
      </c>
      <c r="AE42" s="78">
        <f>SUM(AD42)+AD43</f>
        <v>984013.31060570222</v>
      </c>
      <c r="AF42" s="85">
        <f>(V42+Y42+Y43+V43)*22300/10^6</f>
        <v>16199.158961500454</v>
      </c>
      <c r="AG42" s="253"/>
      <c r="AH42" s="64"/>
      <c r="AI42" s="64"/>
      <c r="AJ42" s="64"/>
      <c r="AK42" s="64"/>
      <c r="AL42" s="64"/>
      <c r="AM42" s="64"/>
      <c r="AN42" s="64"/>
    </row>
    <row r="43" spans="1:40" s="87" customFormat="1" x14ac:dyDescent="0.2">
      <c r="A43" s="87">
        <v>22</v>
      </c>
      <c r="C43" s="71">
        <f t="shared" si="6"/>
        <v>20</v>
      </c>
      <c r="D43" s="165">
        <f t="shared" si="7"/>
        <v>48670</v>
      </c>
      <c r="E43" s="268">
        <f t="shared" si="8"/>
        <v>48853</v>
      </c>
      <c r="F43" s="71">
        <f t="shared" si="9"/>
        <v>15.5</v>
      </c>
      <c r="G43" s="71">
        <f t="shared" si="3"/>
        <v>183</v>
      </c>
      <c r="H43" s="71"/>
      <c r="I43" s="82">
        <f t="shared" si="18"/>
        <v>4732105.4549543541</v>
      </c>
      <c r="J43" s="82"/>
      <c r="K43" s="82">
        <f>K23/38</f>
        <v>262894.73684210528</v>
      </c>
      <c r="L43" s="86">
        <f t="shared" si="15"/>
        <v>3312473.8184680478</v>
      </c>
      <c r="M43" s="74">
        <f t="shared" si="19"/>
        <v>2.6315789473684209E-2</v>
      </c>
      <c r="N43" s="75">
        <f>[2]LIBOR!B36/100</f>
        <v>2.4049999999999998E-2</v>
      </c>
      <c r="O43" s="74">
        <f t="shared" si="11"/>
        <v>5.0000000000000001E-3</v>
      </c>
      <c r="P43" s="74">
        <f t="shared" si="4"/>
        <v>2.9049999999999999E-2</v>
      </c>
      <c r="Q43" s="83">
        <f t="shared" si="24"/>
        <v>726419.68437221763</v>
      </c>
      <c r="R43" s="86">
        <f>V43+V44</f>
        <v>358367.04440217529</v>
      </c>
      <c r="S43" s="86">
        <f>Y43+Y44</f>
        <v>368052.63997004228</v>
      </c>
      <c r="T43" s="83">
        <v>99106</v>
      </c>
      <c r="U43" s="82">
        <f t="shared" si="20"/>
        <v>255976.46028726807</v>
      </c>
      <c r="V43" s="82">
        <f t="shared" si="16"/>
        <v>179183.52220108765</v>
      </c>
      <c r="W43" s="82">
        <f t="shared" si="21"/>
        <v>76792.938086180424</v>
      </c>
      <c r="X43" s="82">
        <f t="shared" si="17"/>
        <v>234952.12598155026</v>
      </c>
      <c r="Y43" s="82">
        <f t="shared" si="25"/>
        <v>184026.31998502114</v>
      </c>
      <c r="Z43" s="82">
        <f t="shared" si="22"/>
        <v>50925.805996529103</v>
      </c>
      <c r="AA43" s="82"/>
      <c r="AB43" s="88"/>
      <c r="AC43" s="88"/>
      <c r="AD43" s="89">
        <f t="shared" si="23"/>
        <v>490928.58626881836</v>
      </c>
      <c r="AE43" s="88"/>
      <c r="AF43" s="251"/>
      <c r="AG43" s="253"/>
      <c r="AH43" s="254"/>
      <c r="AI43" s="254"/>
      <c r="AJ43" s="254"/>
      <c r="AK43" s="254"/>
      <c r="AL43" s="254"/>
      <c r="AM43" s="254"/>
      <c r="AN43" s="254"/>
    </row>
    <row r="44" spans="1:40" s="87" customFormat="1" x14ac:dyDescent="0.2">
      <c r="A44" s="87">
        <v>23</v>
      </c>
      <c r="B44" s="87">
        <v>17</v>
      </c>
      <c r="C44" s="71">
        <f t="shared" si="6"/>
        <v>21</v>
      </c>
      <c r="D44" s="165">
        <f t="shared" si="7"/>
        <v>48853</v>
      </c>
      <c r="E44" s="268">
        <f t="shared" si="8"/>
        <v>49035</v>
      </c>
      <c r="F44" s="71">
        <f t="shared" si="9"/>
        <v>16</v>
      </c>
      <c r="G44" s="71">
        <f t="shared" si="3"/>
        <v>182</v>
      </c>
      <c r="H44" s="71"/>
      <c r="I44" s="82">
        <f t="shared" si="18"/>
        <v>4469210.7181122489</v>
      </c>
      <c r="J44" s="82"/>
      <c r="K44" s="82">
        <f>K23/38</f>
        <v>262894.73684210528</v>
      </c>
      <c r="L44" s="86">
        <f t="shared" si="15"/>
        <v>3128447.5026785741</v>
      </c>
      <c r="M44" s="74">
        <f t="shared" si="19"/>
        <v>2.6315789473684209E-2</v>
      </c>
      <c r="N44" s="75">
        <f>[2]LIBOR!B37/100</f>
        <v>2.4175999999999996E-2</v>
      </c>
      <c r="O44" s="74">
        <f t="shared" si="11"/>
        <v>5.0000000000000001E-3</v>
      </c>
      <c r="P44" s="74">
        <f t="shared" si="4"/>
        <v>2.9175999999999997E-2</v>
      </c>
      <c r="Q44" s="83">
        <f t="shared" si="24"/>
        <v>0</v>
      </c>
      <c r="R44" s="74"/>
      <c r="S44" s="74"/>
      <c r="T44" s="83"/>
      <c r="U44" s="82">
        <f t="shared" si="20"/>
        <v>255976.46028726807</v>
      </c>
      <c r="V44" s="82">
        <f t="shared" si="16"/>
        <v>179183.52220108765</v>
      </c>
      <c r="W44" s="82">
        <f t="shared" si="21"/>
        <v>76792.938086180424</v>
      </c>
      <c r="X44" s="82">
        <f t="shared" si="17"/>
        <v>232216.29799934314</v>
      </c>
      <c r="Y44" s="82">
        <f t="shared" si="25"/>
        <v>184026.31998502114</v>
      </c>
      <c r="Z44" s="82">
        <f t="shared" si="22"/>
        <v>48189.978014321983</v>
      </c>
      <c r="AA44" s="82"/>
      <c r="AB44" s="88"/>
      <c r="AC44" s="88"/>
      <c r="AD44" s="89">
        <f t="shared" si="23"/>
        <v>488192.75828661118</v>
      </c>
      <c r="AE44" s="89">
        <f>SUM(AD44)+AD45</f>
        <v>974155.99794629274</v>
      </c>
      <c r="AF44" s="252">
        <f>(V44+Y44+Y45+V45)*22300/10^6</f>
        <v>16199.158961500454</v>
      </c>
      <c r="AG44" s="253"/>
      <c r="AH44" s="254"/>
      <c r="AI44" s="254"/>
      <c r="AJ44" s="254"/>
      <c r="AK44" s="254"/>
      <c r="AL44" s="254"/>
      <c r="AM44" s="254"/>
      <c r="AN44" s="254"/>
    </row>
    <row r="45" spans="1:40" x14ac:dyDescent="0.2">
      <c r="A45" s="60">
        <v>24</v>
      </c>
      <c r="C45" s="71">
        <f t="shared" si="6"/>
        <v>22</v>
      </c>
      <c r="D45" s="165">
        <f t="shared" si="7"/>
        <v>49035</v>
      </c>
      <c r="E45" s="268">
        <f t="shared" si="8"/>
        <v>49218</v>
      </c>
      <c r="F45" s="71">
        <f t="shared" si="9"/>
        <v>16.5</v>
      </c>
      <c r="G45" s="71">
        <f t="shared" si="3"/>
        <v>183</v>
      </c>
      <c r="H45" s="71"/>
      <c r="I45" s="82">
        <f t="shared" si="18"/>
        <v>4206315.9812701438</v>
      </c>
      <c r="J45" s="82"/>
      <c r="K45" s="82">
        <f>K23/38</f>
        <v>262894.73684210528</v>
      </c>
      <c r="L45" s="86">
        <f t="shared" si="15"/>
        <v>2944421.1868891004</v>
      </c>
      <c r="M45" s="74">
        <f t="shared" si="19"/>
        <v>2.6315789473684209E-2</v>
      </c>
      <c r="N45" s="75">
        <f>[2]LIBOR!B38/100</f>
        <v>2.4301999999999997E-2</v>
      </c>
      <c r="O45" s="74">
        <f t="shared" si="11"/>
        <v>5.0000000000000001E-3</v>
      </c>
      <c r="P45" s="74">
        <f t="shared" si="4"/>
        <v>2.9301999999999998E-2</v>
      </c>
      <c r="Q45" s="83">
        <f t="shared" si="24"/>
        <v>726419.68437221763</v>
      </c>
      <c r="R45" s="86">
        <f>R43</f>
        <v>358367.04440217529</v>
      </c>
      <c r="S45" s="86">
        <f>Y45+Y46</f>
        <v>368052.63997004228</v>
      </c>
      <c r="T45" s="83">
        <v>89166</v>
      </c>
      <c r="U45" s="82">
        <f t="shared" si="20"/>
        <v>255976.46028726807</v>
      </c>
      <c r="V45" s="82">
        <f t="shared" si="16"/>
        <v>179183.52220108765</v>
      </c>
      <c r="W45" s="82">
        <f t="shared" si="21"/>
        <v>76792.938086180424</v>
      </c>
      <c r="X45" s="82">
        <f t="shared" si="17"/>
        <v>229986.77937241353</v>
      </c>
      <c r="Y45" s="82">
        <f t="shared" si="25"/>
        <v>184026.31998502114</v>
      </c>
      <c r="Z45" s="82">
        <f t="shared" si="22"/>
        <v>45960.459387392395</v>
      </c>
      <c r="AA45" s="82"/>
      <c r="AB45" s="88"/>
      <c r="AC45" s="88"/>
      <c r="AD45" s="89">
        <f t="shared" si="23"/>
        <v>485963.23965968157</v>
      </c>
      <c r="AE45" s="88"/>
      <c r="AF45" s="251"/>
      <c r="AG45" s="253"/>
      <c r="AH45" s="254"/>
      <c r="AI45" s="254"/>
      <c r="AJ45" s="254"/>
      <c r="AK45" s="254"/>
      <c r="AL45" s="64"/>
      <c r="AM45" s="64"/>
      <c r="AN45" s="64"/>
    </row>
    <row r="46" spans="1:40" x14ac:dyDescent="0.2">
      <c r="A46" s="60">
        <v>25</v>
      </c>
      <c r="B46" s="60">
        <v>18</v>
      </c>
      <c r="C46" s="71">
        <f t="shared" si="6"/>
        <v>23</v>
      </c>
      <c r="D46" s="165">
        <f t="shared" si="7"/>
        <v>49218</v>
      </c>
      <c r="E46" s="268">
        <f t="shared" si="8"/>
        <v>49400</v>
      </c>
      <c r="F46" s="71">
        <f t="shared" si="9"/>
        <v>17</v>
      </c>
      <c r="G46" s="71">
        <f t="shared" si="3"/>
        <v>182</v>
      </c>
      <c r="H46" s="71"/>
      <c r="I46" s="82">
        <f t="shared" si="18"/>
        <v>3943421.2444280386</v>
      </c>
      <c r="J46" s="82"/>
      <c r="K46" s="82">
        <f>K23/38</f>
        <v>262894.73684210528</v>
      </c>
      <c r="L46" s="86">
        <f t="shared" si="15"/>
        <v>2760394.8710996266</v>
      </c>
      <c r="M46" s="74">
        <f t="shared" si="19"/>
        <v>2.6315789473684209E-2</v>
      </c>
      <c r="N46" s="75">
        <f>[2]LIBOR!B39/100</f>
        <v>2.4427999999999995E-2</v>
      </c>
      <c r="O46" s="74">
        <f t="shared" si="11"/>
        <v>5.0000000000000001E-3</v>
      </c>
      <c r="P46" s="74">
        <f t="shared" si="4"/>
        <v>2.9427999999999996E-2</v>
      </c>
      <c r="Q46" s="83">
        <f t="shared" si="24"/>
        <v>0</v>
      </c>
      <c r="R46" s="74"/>
      <c r="S46" s="74"/>
      <c r="T46" s="83"/>
      <c r="U46" s="82">
        <f t="shared" si="20"/>
        <v>255976.46028726807</v>
      </c>
      <c r="V46" s="82">
        <f t="shared" si="16"/>
        <v>179183.52220108765</v>
      </c>
      <c r="W46" s="82">
        <f t="shared" si="21"/>
        <v>76792.938086180424</v>
      </c>
      <c r="X46" s="82">
        <f t="shared" si="17"/>
        <v>227231.8368539926</v>
      </c>
      <c r="Y46" s="82">
        <f t="shared" si="25"/>
        <v>184026.31998502114</v>
      </c>
      <c r="Z46" s="82">
        <f t="shared" si="22"/>
        <v>43205.516868971456</v>
      </c>
      <c r="AA46" s="82"/>
      <c r="AB46" s="88"/>
      <c r="AC46" s="88"/>
      <c r="AD46" s="89">
        <f t="shared" si="23"/>
        <v>483208.2971412607</v>
      </c>
      <c r="AE46" s="89">
        <f>SUM(AD46)+AD47</f>
        <v>964113.18682107737</v>
      </c>
      <c r="AF46" s="252">
        <f>(V46+Y46+Y47+V47)*22300/10^6</f>
        <v>16199.158961500454</v>
      </c>
      <c r="AG46" s="253"/>
      <c r="AH46" s="254"/>
      <c r="AI46" s="254"/>
      <c r="AJ46" s="254"/>
      <c r="AK46" s="254"/>
      <c r="AL46" s="64"/>
      <c r="AM46" s="64"/>
      <c r="AN46" s="64"/>
    </row>
    <row r="47" spans="1:40" x14ac:dyDescent="0.2">
      <c r="A47" s="60">
        <v>26</v>
      </c>
      <c r="C47" s="71">
        <f t="shared" si="6"/>
        <v>24</v>
      </c>
      <c r="D47" s="165">
        <f t="shared" si="7"/>
        <v>49400</v>
      </c>
      <c r="E47" s="268">
        <f t="shared" si="8"/>
        <v>49583</v>
      </c>
      <c r="F47" s="71">
        <f t="shared" si="9"/>
        <v>17.5</v>
      </c>
      <c r="G47" s="71">
        <f t="shared" si="3"/>
        <v>183</v>
      </c>
      <c r="H47" s="71"/>
      <c r="I47" s="82">
        <f t="shared" si="18"/>
        <v>3680526.5075859334</v>
      </c>
      <c r="J47" s="82"/>
      <c r="K47" s="82">
        <f>K23/38</f>
        <v>262894.73684210528</v>
      </c>
      <c r="L47" s="86">
        <f t="shared" si="15"/>
        <v>2576368.5553101534</v>
      </c>
      <c r="M47" s="74">
        <f t="shared" si="19"/>
        <v>2.6315789473684209E-2</v>
      </c>
      <c r="N47" s="75">
        <f>[2]LIBOR!B40/100</f>
        <v>2.4553999999999996E-2</v>
      </c>
      <c r="O47" s="74">
        <f t="shared" si="11"/>
        <v>5.0000000000000001E-3</v>
      </c>
      <c r="P47" s="74">
        <f t="shared" si="4"/>
        <v>2.9553999999999997E-2</v>
      </c>
      <c r="Q47" s="83">
        <f t="shared" si="24"/>
        <v>726419.68437221763</v>
      </c>
      <c r="R47" s="86">
        <f>V47+V48</f>
        <v>358367.04440217529</v>
      </c>
      <c r="S47" s="86">
        <f>Y47+Y48</f>
        <v>368052.63997004228</v>
      </c>
      <c r="T47" s="83">
        <v>79240</v>
      </c>
      <c r="U47" s="82">
        <f t="shared" si="20"/>
        <v>255976.46028726807</v>
      </c>
      <c r="V47" s="82">
        <f t="shared" si="16"/>
        <v>179183.52220108765</v>
      </c>
      <c r="W47" s="82">
        <f t="shared" si="21"/>
        <v>76792.938086180424</v>
      </c>
      <c r="X47" s="82">
        <f t="shared" si="17"/>
        <v>224928.42939254863</v>
      </c>
      <c r="Y47" s="82">
        <f t="shared" si="25"/>
        <v>184026.31998502114</v>
      </c>
      <c r="Z47" s="82">
        <f t="shared" si="22"/>
        <v>40902.109407527503</v>
      </c>
      <c r="AA47" s="82"/>
      <c r="AB47" s="81"/>
      <c r="AC47" s="81"/>
      <c r="AD47" s="78">
        <f t="shared" si="23"/>
        <v>480904.88967981667</v>
      </c>
      <c r="AE47" s="81"/>
      <c r="AF47" s="79"/>
      <c r="AG47" s="253"/>
      <c r="AH47" s="64"/>
      <c r="AI47" s="64"/>
      <c r="AJ47" s="64"/>
      <c r="AK47" s="64"/>
      <c r="AL47" s="64"/>
      <c r="AM47" s="64"/>
      <c r="AN47" s="64"/>
    </row>
    <row r="48" spans="1:40" x14ac:dyDescent="0.2">
      <c r="A48" s="60">
        <v>27</v>
      </c>
      <c r="B48" s="60">
        <v>19</v>
      </c>
      <c r="C48" s="71">
        <f t="shared" si="6"/>
        <v>25</v>
      </c>
      <c r="D48" s="165">
        <f t="shared" si="7"/>
        <v>49583</v>
      </c>
      <c r="E48" s="268">
        <f t="shared" si="8"/>
        <v>49766</v>
      </c>
      <c r="F48" s="71">
        <f t="shared" si="9"/>
        <v>18</v>
      </c>
      <c r="G48" s="71">
        <f t="shared" si="3"/>
        <v>183</v>
      </c>
      <c r="H48" s="71"/>
      <c r="I48" s="82">
        <f t="shared" si="18"/>
        <v>3417631.7707438283</v>
      </c>
      <c r="J48" s="82"/>
      <c r="K48" s="82">
        <f>K23/38</f>
        <v>262894.73684210528</v>
      </c>
      <c r="L48" s="86">
        <f t="shared" si="15"/>
        <v>2392342.2395206797</v>
      </c>
      <c r="M48" s="74">
        <f t="shared" si="19"/>
        <v>2.6315789473684209E-2</v>
      </c>
      <c r="N48" s="75">
        <f>[2]LIBOR!B41/100</f>
        <v>2.4680000000000001E-2</v>
      </c>
      <c r="O48" s="74">
        <f t="shared" si="11"/>
        <v>5.0000000000000001E-3</v>
      </c>
      <c r="P48" s="74">
        <f t="shared" si="4"/>
        <v>2.9680000000000002E-2</v>
      </c>
      <c r="Q48" s="83">
        <f t="shared" si="24"/>
        <v>0</v>
      </c>
      <c r="R48" s="74"/>
      <c r="S48" s="74"/>
      <c r="T48" s="83"/>
      <c r="U48" s="82">
        <f t="shared" si="20"/>
        <v>255976.46028726807</v>
      </c>
      <c r="V48" s="82">
        <f t="shared" si="16"/>
        <v>179183.52220108765</v>
      </c>
      <c r="W48" s="82">
        <f t="shared" si="21"/>
        <v>76792.938086180424</v>
      </c>
      <c r="X48" s="82">
        <f t="shared" si="17"/>
        <v>222364.37813859314</v>
      </c>
      <c r="Y48" s="82">
        <f t="shared" si="25"/>
        <v>184026.31998502114</v>
      </c>
      <c r="Z48" s="82">
        <f t="shared" si="22"/>
        <v>38338.058153571998</v>
      </c>
      <c r="AA48" s="82"/>
      <c r="AB48" s="81"/>
      <c r="AC48" s="81"/>
      <c r="AD48" s="78">
        <f t="shared" si="23"/>
        <v>478340.83842586121</v>
      </c>
      <c r="AE48" s="78">
        <f>SUM(AD48)+AD49</f>
        <v>953999.01861516247</v>
      </c>
      <c r="AF48" s="85">
        <f>(V48+Y48+Y49+V49)*22300/10^6</f>
        <v>16199.158961500454</v>
      </c>
      <c r="AG48" s="248"/>
      <c r="AH48" s="64"/>
      <c r="AI48" s="64"/>
      <c r="AJ48" s="64"/>
      <c r="AK48" s="64"/>
      <c r="AL48" s="64"/>
      <c r="AM48" s="64"/>
      <c r="AN48" s="64"/>
    </row>
    <row r="49" spans="1:40" x14ac:dyDescent="0.2">
      <c r="A49" s="60">
        <v>28</v>
      </c>
      <c r="C49" s="71">
        <f t="shared" si="6"/>
        <v>26</v>
      </c>
      <c r="D49" s="165">
        <f t="shared" si="7"/>
        <v>49766</v>
      </c>
      <c r="E49" s="268">
        <f t="shared" si="8"/>
        <v>49949</v>
      </c>
      <c r="F49" s="71">
        <f t="shared" si="9"/>
        <v>18.5</v>
      </c>
      <c r="G49" s="71">
        <f t="shared" si="3"/>
        <v>183</v>
      </c>
      <c r="H49" s="71"/>
      <c r="I49" s="82">
        <f t="shared" si="18"/>
        <v>3154737.0339017231</v>
      </c>
      <c r="J49" s="82"/>
      <c r="K49" s="82">
        <f>K23/38</f>
        <v>262894.73684210528</v>
      </c>
      <c r="L49" s="86">
        <f t="shared" si="15"/>
        <v>2208315.923731206</v>
      </c>
      <c r="M49" s="74">
        <f t="shared" si="19"/>
        <v>2.6315789473684209E-2</v>
      </c>
      <c r="N49" s="75">
        <f>[2]LIBOR!B42/100</f>
        <v>2.4726499999999998E-2</v>
      </c>
      <c r="O49" s="74">
        <f t="shared" si="11"/>
        <v>5.0000000000000001E-3</v>
      </c>
      <c r="P49" s="74">
        <f t="shared" si="4"/>
        <v>2.9726499999999999E-2</v>
      </c>
      <c r="Q49" s="83">
        <f t="shared" si="24"/>
        <v>726419.68437221763</v>
      </c>
      <c r="R49" s="86">
        <f>R47</f>
        <v>358367.04440217529</v>
      </c>
      <c r="S49" s="86">
        <f>Y49+Y50</f>
        <v>368052.63997004228</v>
      </c>
      <c r="T49" s="83">
        <v>68439</v>
      </c>
      <c r="U49" s="82">
        <f t="shared" si="20"/>
        <v>255976.46028726807</v>
      </c>
      <c r="V49" s="82">
        <f t="shared" si="16"/>
        <v>179183.52220108765</v>
      </c>
      <c r="W49" s="82">
        <f t="shared" si="21"/>
        <v>76792.938086180424</v>
      </c>
      <c r="X49" s="82">
        <f t="shared" si="17"/>
        <v>219681.71990203319</v>
      </c>
      <c r="Y49" s="82">
        <f t="shared" si="25"/>
        <v>184026.31998502114</v>
      </c>
      <c r="Z49" s="82">
        <f t="shared" si="22"/>
        <v>35655.399917012059</v>
      </c>
      <c r="AA49" s="82"/>
      <c r="AB49" s="81"/>
      <c r="AC49" s="81"/>
      <c r="AD49" s="78">
        <f t="shared" si="23"/>
        <v>475658.18018930126</v>
      </c>
      <c r="AE49" s="81"/>
      <c r="AF49" s="79"/>
      <c r="AG49" s="249"/>
      <c r="AH49" s="64"/>
      <c r="AI49" s="64"/>
      <c r="AJ49" s="64"/>
      <c r="AK49" s="64"/>
      <c r="AL49" s="64"/>
      <c r="AM49" s="64"/>
      <c r="AN49" s="64"/>
    </row>
    <row r="50" spans="1:40" x14ac:dyDescent="0.2">
      <c r="A50" s="60">
        <v>29</v>
      </c>
      <c r="B50" s="60">
        <v>20</v>
      </c>
      <c r="C50" s="71">
        <f t="shared" si="6"/>
        <v>27</v>
      </c>
      <c r="D50" s="165">
        <f t="shared" si="7"/>
        <v>49949</v>
      </c>
      <c r="E50" s="268">
        <f t="shared" si="8"/>
        <v>50131</v>
      </c>
      <c r="F50" s="71">
        <f t="shared" si="9"/>
        <v>19</v>
      </c>
      <c r="G50" s="71">
        <f t="shared" si="3"/>
        <v>182</v>
      </c>
      <c r="H50" s="71"/>
      <c r="I50" s="82">
        <f t="shared" si="18"/>
        <v>2891842.2970596179</v>
      </c>
      <c r="J50" s="82"/>
      <c r="K50" s="82">
        <f>K23/38</f>
        <v>262894.73684210528</v>
      </c>
      <c r="L50" s="86">
        <f t="shared" si="15"/>
        <v>2024289.6079417325</v>
      </c>
      <c r="M50" s="74">
        <f t="shared" si="19"/>
        <v>2.6315789473684209E-2</v>
      </c>
      <c r="N50" s="75">
        <f>[2]LIBOR!B43/100</f>
        <v>2.4772999999999996E-2</v>
      </c>
      <c r="O50" s="74">
        <f t="shared" si="11"/>
        <v>5.0000000000000001E-3</v>
      </c>
      <c r="P50" s="74">
        <f t="shared" si="4"/>
        <v>2.9772999999999997E-2</v>
      </c>
      <c r="Q50" s="83">
        <f t="shared" si="24"/>
        <v>0</v>
      </c>
      <c r="R50" s="74"/>
      <c r="S50" s="74"/>
      <c r="T50" s="83"/>
      <c r="U50" s="82">
        <f t="shared" si="20"/>
        <v>255976.46028726807</v>
      </c>
      <c r="V50" s="82">
        <f t="shared" si="16"/>
        <v>179183.52220108765</v>
      </c>
      <c r="W50" s="82">
        <f t="shared" si="21"/>
        <v>76792.938086180424</v>
      </c>
      <c r="X50" s="82">
        <f t="shared" si="17"/>
        <v>216810.34896995086</v>
      </c>
      <c r="Y50" s="82">
        <f t="shared" si="25"/>
        <v>184026.31998502114</v>
      </c>
      <c r="Z50" s="82">
        <f t="shared" si="22"/>
        <v>32784.028984929733</v>
      </c>
      <c r="AA50" s="82"/>
      <c r="AB50" s="81"/>
      <c r="AC50" s="81"/>
      <c r="AD50" s="78">
        <f t="shared" si="23"/>
        <v>472786.80925721896</v>
      </c>
      <c r="AE50" s="78">
        <f>SUM(AD50)+AD51</f>
        <v>943053.93096900242</v>
      </c>
      <c r="AF50" s="85">
        <f>(V50+Y50+Y51+V51)*22300/10^6</f>
        <v>16199.158961500454</v>
      </c>
      <c r="AG50" s="249"/>
      <c r="AH50" s="64"/>
      <c r="AI50" s="64"/>
      <c r="AJ50" s="64"/>
      <c r="AK50" s="64"/>
      <c r="AL50" s="64"/>
      <c r="AM50" s="64"/>
      <c r="AN50" s="64"/>
    </row>
    <row r="51" spans="1:40" x14ac:dyDescent="0.2">
      <c r="A51" s="60">
        <v>30</v>
      </c>
      <c r="C51" s="71">
        <f t="shared" si="6"/>
        <v>28</v>
      </c>
      <c r="D51" s="165">
        <f t="shared" si="7"/>
        <v>50131</v>
      </c>
      <c r="E51" s="268">
        <f t="shared" si="8"/>
        <v>50314</v>
      </c>
      <c r="F51" s="71">
        <f t="shared" si="9"/>
        <v>19.5</v>
      </c>
      <c r="G51" s="71">
        <f t="shared" si="3"/>
        <v>183</v>
      </c>
      <c r="H51" s="71"/>
      <c r="I51" s="82">
        <f t="shared" si="18"/>
        <v>2628947.5602175128</v>
      </c>
      <c r="J51" s="82"/>
      <c r="K51" s="82">
        <f>K23/38</f>
        <v>262894.73684210528</v>
      </c>
      <c r="L51" s="86">
        <f t="shared" si="15"/>
        <v>1840263.2921522588</v>
      </c>
      <c r="M51" s="74">
        <f t="shared" si="19"/>
        <v>2.6315789473684209E-2</v>
      </c>
      <c r="N51" s="75">
        <f>[2]LIBOR!B44/100</f>
        <v>2.4819499999999994E-2</v>
      </c>
      <c r="O51" s="74">
        <f t="shared" si="11"/>
        <v>5.0000000000000001E-3</v>
      </c>
      <c r="P51" s="74">
        <f t="shared" si="4"/>
        <v>2.9819499999999995E-2</v>
      </c>
      <c r="Q51" s="83">
        <f t="shared" si="24"/>
        <v>726419.68437221763</v>
      </c>
      <c r="R51" s="86">
        <f>R49</f>
        <v>358367.04440217529</v>
      </c>
      <c r="S51" s="86">
        <f>Y51+Y52</f>
        <v>368052.63997004228</v>
      </c>
      <c r="T51" s="83">
        <v>57670</v>
      </c>
      <c r="U51" s="82">
        <f t="shared" si="20"/>
        <v>255976.46028726807</v>
      </c>
      <c r="V51" s="82">
        <f t="shared" si="16"/>
        <v>179183.52220108765</v>
      </c>
      <c r="W51" s="82">
        <f t="shared" si="21"/>
        <v>76792.938086180424</v>
      </c>
      <c r="X51" s="82">
        <f t="shared" si="17"/>
        <v>214290.66142451533</v>
      </c>
      <c r="Y51" s="82">
        <f t="shared" si="25"/>
        <v>184026.31998502114</v>
      </c>
      <c r="Z51" s="82">
        <f t="shared" si="22"/>
        <v>30264.341439494194</v>
      </c>
      <c r="AA51" s="82"/>
      <c r="AB51" s="81"/>
      <c r="AC51" s="81"/>
      <c r="AD51" s="78">
        <f t="shared" si="23"/>
        <v>470267.1217117834</v>
      </c>
      <c r="AE51" s="81"/>
      <c r="AF51" s="79"/>
      <c r="AG51" s="249"/>
    </row>
    <row r="52" spans="1:40" x14ac:dyDescent="0.2">
      <c r="A52" s="60">
        <v>31</v>
      </c>
      <c r="B52" s="60">
        <v>21</v>
      </c>
      <c r="C52" s="71">
        <f t="shared" si="6"/>
        <v>29</v>
      </c>
      <c r="D52" s="165">
        <f t="shared" si="7"/>
        <v>50314</v>
      </c>
      <c r="E52" s="268">
        <f t="shared" si="8"/>
        <v>50496</v>
      </c>
      <c r="F52" s="71">
        <f t="shared" si="9"/>
        <v>20</v>
      </c>
      <c r="G52" s="71">
        <f t="shared" si="3"/>
        <v>182</v>
      </c>
      <c r="H52" s="71"/>
      <c r="I52" s="82">
        <f t="shared" si="18"/>
        <v>2366052.8233754076</v>
      </c>
      <c r="J52" s="82"/>
      <c r="K52" s="82">
        <f>K23/38</f>
        <v>262894.73684210528</v>
      </c>
      <c r="L52" s="86">
        <f t="shared" si="15"/>
        <v>1656236.9763627853</v>
      </c>
      <c r="M52" s="74">
        <f t="shared" si="19"/>
        <v>2.6315789473684209E-2</v>
      </c>
      <c r="N52" s="75">
        <f>[2]LIBOR!B45/100</f>
        <v>2.4865999999999992E-2</v>
      </c>
      <c r="O52" s="74">
        <f t="shared" si="11"/>
        <v>5.0000000000000001E-3</v>
      </c>
      <c r="P52" s="74">
        <f t="shared" si="4"/>
        <v>2.9865999999999993E-2</v>
      </c>
      <c r="Q52" s="83">
        <f t="shared" si="24"/>
        <v>0</v>
      </c>
      <c r="R52" s="74"/>
      <c r="S52" s="74"/>
      <c r="T52" s="83"/>
      <c r="U52" s="82">
        <f t="shared" si="20"/>
        <v>255976.46028726807</v>
      </c>
      <c r="V52" s="82">
        <f t="shared" si="16"/>
        <v>179183.52220108765</v>
      </c>
      <c r="W52" s="82">
        <f t="shared" si="21"/>
        <v>76792.938086180424</v>
      </c>
      <c r="X52" s="82">
        <f t="shared" si="17"/>
        <v>211431.68226990421</v>
      </c>
      <c r="Y52" s="82">
        <f t="shared" si="25"/>
        <v>184026.31998502114</v>
      </c>
      <c r="Z52" s="82">
        <f t="shared" si="22"/>
        <v>27405.362284883071</v>
      </c>
      <c r="AA52" s="82"/>
      <c r="AB52" s="81"/>
      <c r="AC52" s="81"/>
      <c r="AD52" s="78">
        <f t="shared" si="23"/>
        <v>467408.14255717228</v>
      </c>
      <c r="AE52" s="78">
        <f>SUM(AD52)+AD53</f>
        <v>932249.88311890722</v>
      </c>
      <c r="AF52" s="85">
        <f>(V52+Y52+Y53+V53)*22300/10^6</f>
        <v>16199.158961500454</v>
      </c>
      <c r="AG52" s="250"/>
    </row>
    <row r="53" spans="1:40" s="90" customFormat="1" x14ac:dyDescent="0.2">
      <c r="A53" s="90">
        <v>32</v>
      </c>
      <c r="C53" s="71">
        <f t="shared" si="6"/>
        <v>30</v>
      </c>
      <c r="D53" s="165">
        <f t="shared" si="7"/>
        <v>50496</v>
      </c>
      <c r="E53" s="268">
        <f t="shared" si="8"/>
        <v>50679</v>
      </c>
      <c r="F53" s="71">
        <f t="shared" si="9"/>
        <v>20.5</v>
      </c>
      <c r="G53" s="71">
        <f t="shared" si="3"/>
        <v>183</v>
      </c>
      <c r="H53" s="71"/>
      <c r="I53" s="82">
        <f t="shared" si="18"/>
        <v>2103158.0865333024</v>
      </c>
      <c r="J53" s="82"/>
      <c r="K53" s="82">
        <f>K23/38</f>
        <v>262894.73684210528</v>
      </c>
      <c r="L53" s="86">
        <f t="shared" si="15"/>
        <v>1472210.6605733116</v>
      </c>
      <c r="M53" s="74">
        <f t="shared" si="19"/>
        <v>2.6315789473684209E-2</v>
      </c>
      <c r="N53" s="75">
        <f>[2]LIBOR!B46/100</f>
        <v>2.491249999999999E-2</v>
      </c>
      <c r="O53" s="74">
        <f t="shared" si="11"/>
        <v>5.0000000000000001E-3</v>
      </c>
      <c r="P53" s="74">
        <f t="shared" si="4"/>
        <v>2.9912499999999991E-2</v>
      </c>
      <c r="Q53" s="83">
        <f t="shared" si="24"/>
        <v>726419.68437221763</v>
      </c>
      <c r="R53" s="86">
        <f>R51</f>
        <v>358367.04440217529</v>
      </c>
      <c r="S53" s="86">
        <f>Y53+Y54</f>
        <v>368052.63997004228</v>
      </c>
      <c r="T53" s="83">
        <v>46832</v>
      </c>
      <c r="U53" s="82">
        <f t="shared" si="20"/>
        <v>255976.46028726807</v>
      </c>
      <c r="V53" s="82">
        <f t="shared" si="16"/>
        <v>179183.52220108765</v>
      </c>
      <c r="W53" s="82">
        <f t="shared" si="21"/>
        <v>76792.938086180424</v>
      </c>
      <c r="X53" s="82">
        <f t="shared" si="17"/>
        <v>208865.28027446684</v>
      </c>
      <c r="Y53" s="82">
        <f t="shared" si="25"/>
        <v>184026.31998502114</v>
      </c>
      <c r="Z53" s="82">
        <f t="shared" si="22"/>
        <v>24838.960289445698</v>
      </c>
      <c r="AA53" s="82"/>
      <c r="AB53" s="71"/>
      <c r="AC53" s="71"/>
      <c r="AD53" s="83">
        <f t="shared" si="23"/>
        <v>464841.74056173488</v>
      </c>
      <c r="AE53" s="71"/>
      <c r="AF53" s="242"/>
      <c r="AG53" s="249"/>
    </row>
    <row r="54" spans="1:40" s="90" customFormat="1" x14ac:dyDescent="0.2">
      <c r="A54" s="90">
        <v>33</v>
      </c>
      <c r="B54" s="90">
        <v>22</v>
      </c>
      <c r="C54" s="71">
        <f t="shared" si="6"/>
        <v>31</v>
      </c>
      <c r="D54" s="165">
        <f t="shared" si="7"/>
        <v>50679</v>
      </c>
      <c r="E54" s="268">
        <f t="shared" si="8"/>
        <v>50861</v>
      </c>
      <c r="F54" s="71">
        <f t="shared" si="9"/>
        <v>21</v>
      </c>
      <c r="G54" s="71">
        <f t="shared" si="3"/>
        <v>182</v>
      </c>
      <c r="H54" s="71"/>
      <c r="I54" s="82">
        <f t="shared" si="18"/>
        <v>1840263.3496911973</v>
      </c>
      <c r="J54" s="82"/>
      <c r="K54" s="82">
        <f>K23/38</f>
        <v>262894.73684210528</v>
      </c>
      <c r="L54" s="86">
        <f t="shared" si="15"/>
        <v>1288184.3447838379</v>
      </c>
      <c r="M54" s="74">
        <f t="shared" si="19"/>
        <v>2.6315789473684209E-2</v>
      </c>
      <c r="N54" s="75">
        <f>[2]LIBOR!B47/100</f>
        <v>2.4958999999999988E-2</v>
      </c>
      <c r="O54" s="74">
        <f t="shared" si="11"/>
        <v>5.0000000000000001E-3</v>
      </c>
      <c r="P54" s="74">
        <f t="shared" si="4"/>
        <v>2.9958999999999989E-2</v>
      </c>
      <c r="Q54" s="83">
        <f t="shared" si="24"/>
        <v>0</v>
      </c>
      <c r="R54" s="74"/>
      <c r="S54" s="74"/>
      <c r="T54" s="83"/>
      <c r="U54" s="82">
        <f t="shared" si="20"/>
        <v>255976.46028726807</v>
      </c>
      <c r="V54" s="82">
        <f t="shared" si="16"/>
        <v>179183.52220108765</v>
      </c>
      <c r="W54" s="82">
        <f t="shared" si="21"/>
        <v>76792.938086180424</v>
      </c>
      <c r="X54" s="82">
        <f t="shared" si="17"/>
        <v>206018.88045291451</v>
      </c>
      <c r="Y54" s="82">
        <f t="shared" si="25"/>
        <v>184026.31998502114</v>
      </c>
      <c r="Z54" s="82">
        <f t="shared" si="22"/>
        <v>21992.560467893371</v>
      </c>
      <c r="AA54" s="82"/>
      <c r="AB54" s="71"/>
      <c r="AC54" s="71"/>
      <c r="AD54" s="83">
        <f t="shared" si="23"/>
        <v>461995.34074018255</v>
      </c>
      <c r="AE54" s="83">
        <f>SUM(AD54)+AD55</f>
        <v>921377.37747933832</v>
      </c>
      <c r="AF54" s="243">
        <f>(V54+Y54+Y55+V55)*22300/10^6</f>
        <v>16199.158961500454</v>
      </c>
      <c r="AG54" s="249"/>
    </row>
    <row r="55" spans="1:40" x14ac:dyDescent="0.2">
      <c r="A55" s="60">
        <v>34</v>
      </c>
      <c r="C55" s="71">
        <f t="shared" si="6"/>
        <v>32</v>
      </c>
      <c r="D55" s="165">
        <f t="shared" si="7"/>
        <v>50861</v>
      </c>
      <c r="E55" s="268">
        <f t="shared" si="8"/>
        <v>51044</v>
      </c>
      <c r="F55" s="71">
        <f t="shared" si="9"/>
        <v>21.5</v>
      </c>
      <c r="G55" s="71">
        <f t="shared" si="3"/>
        <v>183</v>
      </c>
      <c r="H55" s="71"/>
      <c r="I55" s="82">
        <f t="shared" si="18"/>
        <v>1577368.6128490921</v>
      </c>
      <c r="J55" s="82"/>
      <c r="K55" s="82">
        <f>K23/38</f>
        <v>262894.73684210528</v>
      </c>
      <c r="L55" s="86">
        <f t="shared" si="15"/>
        <v>1104158.0289943644</v>
      </c>
      <c r="M55" s="74">
        <f t="shared" si="19"/>
        <v>2.6315789473684209E-2</v>
      </c>
      <c r="N55" s="75">
        <f>[2]LIBOR!B48/100</f>
        <v>2.5005499999999986E-2</v>
      </c>
      <c r="O55" s="74">
        <f t="shared" si="11"/>
        <v>5.0000000000000001E-3</v>
      </c>
      <c r="P55" s="74">
        <f t="shared" si="4"/>
        <v>3.0005499999999987E-2</v>
      </c>
      <c r="Q55" s="83">
        <f t="shared" si="24"/>
        <v>726419.68437221763</v>
      </c>
      <c r="R55" s="86">
        <f>V55+V56</f>
        <v>358367.04440217529</v>
      </c>
      <c r="S55" s="86">
        <f>Y55+Y56</f>
        <v>368052.63997004228</v>
      </c>
      <c r="T55" s="83">
        <v>36016</v>
      </c>
      <c r="U55" s="82">
        <f t="shared" si="20"/>
        <v>255976.46028726807</v>
      </c>
      <c r="V55" s="82">
        <f t="shared" si="16"/>
        <v>179183.52220108765</v>
      </c>
      <c r="W55" s="82">
        <f t="shared" si="21"/>
        <v>76792.938086180424</v>
      </c>
      <c r="X55" s="82">
        <f t="shared" si="17"/>
        <v>203405.5764518877</v>
      </c>
      <c r="Y55" s="82">
        <f t="shared" si="25"/>
        <v>184026.31998502114</v>
      </c>
      <c r="Z55" s="82">
        <f t="shared" si="22"/>
        <v>19379.256466866551</v>
      </c>
      <c r="AA55" s="82"/>
      <c r="AB55" s="81"/>
      <c r="AC55" s="81"/>
      <c r="AD55" s="78">
        <f t="shared" si="23"/>
        <v>459382.03673915577</v>
      </c>
      <c r="AE55" s="81"/>
      <c r="AF55" s="79"/>
      <c r="AG55" s="249"/>
    </row>
    <row r="56" spans="1:40" x14ac:dyDescent="0.2">
      <c r="A56" s="60">
        <v>35</v>
      </c>
      <c r="B56" s="60">
        <v>23</v>
      </c>
      <c r="C56" s="71">
        <f t="shared" si="6"/>
        <v>33</v>
      </c>
      <c r="D56" s="165">
        <f t="shared" si="7"/>
        <v>51044</v>
      </c>
      <c r="E56" s="268">
        <f t="shared" si="8"/>
        <v>51227</v>
      </c>
      <c r="F56" s="71">
        <f t="shared" si="9"/>
        <v>22</v>
      </c>
      <c r="G56" s="71">
        <f t="shared" si="3"/>
        <v>183</v>
      </c>
      <c r="H56" s="71"/>
      <c r="I56" s="82">
        <f t="shared" si="18"/>
        <v>1314473.8760069869</v>
      </c>
      <c r="J56" s="82"/>
      <c r="K56" s="82">
        <f>K23/38</f>
        <v>262894.73684210528</v>
      </c>
      <c r="L56" s="86">
        <f t="shared" si="15"/>
        <v>920131.71320489084</v>
      </c>
      <c r="M56" s="74">
        <f t="shared" si="19"/>
        <v>2.6315789473684209E-2</v>
      </c>
      <c r="N56" s="75">
        <f>[2]LIBOR!B49/100</f>
        <v>2.5051999999999984E-2</v>
      </c>
      <c r="O56" s="74">
        <f t="shared" si="11"/>
        <v>5.0000000000000001E-3</v>
      </c>
      <c r="P56" s="74">
        <f t="shared" si="4"/>
        <v>3.0051999999999985E-2</v>
      </c>
      <c r="Q56" s="83">
        <f t="shared" si="24"/>
        <v>0</v>
      </c>
      <c r="R56" s="74"/>
      <c r="S56" s="74"/>
      <c r="T56" s="83"/>
      <c r="U56" s="82">
        <f t="shared" si="20"/>
        <v>255976.46028726807</v>
      </c>
      <c r="V56" s="82">
        <f t="shared" si="16"/>
        <v>179183.52220108765</v>
      </c>
      <c r="W56" s="82">
        <f t="shared" si="21"/>
        <v>76792.938086180424</v>
      </c>
      <c r="X56" s="82">
        <f t="shared" si="17"/>
        <v>200662.85353839913</v>
      </c>
      <c r="Y56" s="82">
        <f t="shared" si="25"/>
        <v>184026.31998502114</v>
      </c>
      <c r="Z56" s="82">
        <f t="shared" si="22"/>
        <v>16636.533553377994</v>
      </c>
      <c r="AA56" s="82"/>
      <c r="AB56" s="81"/>
      <c r="AC56" s="81"/>
      <c r="AD56" s="78">
        <f t="shared" si="23"/>
        <v>456639.3138256672</v>
      </c>
      <c r="AE56" s="78">
        <f>SUM(AD56)+AD57</f>
        <v>910527.32406971324</v>
      </c>
      <c r="AF56" s="85">
        <f>(V56+Y56+Y57+V57)*22300/10^6</f>
        <v>16199.158961500454</v>
      </c>
      <c r="AG56" s="249"/>
    </row>
    <row r="57" spans="1:40" x14ac:dyDescent="0.2">
      <c r="A57" s="60">
        <v>36</v>
      </c>
      <c r="C57" s="71">
        <f t="shared" si="6"/>
        <v>34</v>
      </c>
      <c r="D57" s="165">
        <f t="shared" si="7"/>
        <v>51227</v>
      </c>
      <c r="E57" s="268">
        <f t="shared" si="8"/>
        <v>51410</v>
      </c>
      <c r="F57" s="71">
        <f t="shared" si="9"/>
        <v>22.5</v>
      </c>
      <c r="G57" s="71">
        <f t="shared" si="3"/>
        <v>183</v>
      </c>
      <c r="H57" s="71"/>
      <c r="I57" s="82">
        <f t="shared" si="18"/>
        <v>1051579.1391648818</v>
      </c>
      <c r="J57" s="82"/>
      <c r="K57" s="82">
        <f>K23/38</f>
        <v>262894.73684210528</v>
      </c>
      <c r="L57" s="86">
        <f t="shared" si="15"/>
        <v>736105.39741541725</v>
      </c>
      <c r="M57" s="74">
        <f t="shared" si="19"/>
        <v>2.6315789473684209E-2</v>
      </c>
      <c r="N57" s="75">
        <f>[2]LIBOR!B50/100</f>
        <v>2.5098499999999982E-2</v>
      </c>
      <c r="O57" s="74">
        <f t="shared" si="11"/>
        <v>5.0000000000000001E-3</v>
      </c>
      <c r="P57" s="74">
        <f t="shared" si="4"/>
        <v>3.0098499999999983E-2</v>
      </c>
      <c r="Q57" s="83">
        <f t="shared" si="24"/>
        <v>726419.68437221763</v>
      </c>
      <c r="R57" s="86">
        <f>R55</f>
        <v>358367.04440217529</v>
      </c>
      <c r="S57" s="86">
        <f>Y57+Y58</f>
        <v>368052.63997004228</v>
      </c>
      <c r="T57" s="83">
        <v>24950</v>
      </c>
      <c r="U57" s="82">
        <f t="shared" si="20"/>
        <v>255976.46028726807</v>
      </c>
      <c r="V57" s="82">
        <f t="shared" si="16"/>
        <v>179183.52220108765</v>
      </c>
      <c r="W57" s="82">
        <f t="shared" si="21"/>
        <v>76792.938086180424</v>
      </c>
      <c r="X57" s="82">
        <f t="shared" si="17"/>
        <v>197911.54995677792</v>
      </c>
      <c r="Y57" s="82">
        <f t="shared" si="25"/>
        <v>184026.31998502114</v>
      </c>
      <c r="Z57" s="82">
        <f t="shared" si="22"/>
        <v>13885.229971756773</v>
      </c>
      <c r="AA57" s="82"/>
      <c r="AB57" s="81"/>
      <c r="AC57" s="81"/>
      <c r="AD57" s="78">
        <f t="shared" si="23"/>
        <v>453888.01024404599</v>
      </c>
      <c r="AE57" s="81"/>
      <c r="AF57" s="79"/>
      <c r="AG57" s="249"/>
    </row>
    <row r="58" spans="1:40" x14ac:dyDescent="0.2">
      <c r="A58" s="60">
        <v>37</v>
      </c>
      <c r="B58" s="60">
        <v>24</v>
      </c>
      <c r="C58" s="71">
        <f t="shared" si="6"/>
        <v>35</v>
      </c>
      <c r="D58" s="165">
        <f t="shared" si="7"/>
        <v>51410</v>
      </c>
      <c r="E58" s="268">
        <f t="shared" si="8"/>
        <v>51592</v>
      </c>
      <c r="F58" s="71">
        <f t="shared" si="9"/>
        <v>23</v>
      </c>
      <c r="G58" s="71">
        <f t="shared" si="3"/>
        <v>182</v>
      </c>
      <c r="H58" s="71"/>
      <c r="I58" s="82">
        <f t="shared" si="18"/>
        <v>788684.4023227765</v>
      </c>
      <c r="J58" s="82"/>
      <c r="K58" s="82">
        <f>K23/38</f>
        <v>262894.73684210528</v>
      </c>
      <c r="L58" s="86">
        <f t="shared" si="15"/>
        <v>552079.08162594354</v>
      </c>
      <c r="M58" s="74">
        <f t="shared" si="19"/>
        <v>2.6315789473684209E-2</v>
      </c>
      <c r="N58" s="75">
        <f>[2]LIBOR!B51/100</f>
        <v>2.5144999999999983E-2</v>
      </c>
      <c r="O58" s="74">
        <f t="shared" si="11"/>
        <v>5.0000000000000001E-3</v>
      </c>
      <c r="P58" s="74">
        <f t="shared" si="4"/>
        <v>3.0144999999999984E-2</v>
      </c>
      <c r="Q58" s="83">
        <f t="shared" si="24"/>
        <v>0</v>
      </c>
      <c r="R58" s="74"/>
      <c r="S58" s="74"/>
      <c r="T58" s="83"/>
      <c r="U58" s="82">
        <f t="shared" si="20"/>
        <v>255976.46028726807</v>
      </c>
      <c r="V58" s="82">
        <f t="shared" si="16"/>
        <v>179183.52220108765</v>
      </c>
      <c r="W58" s="82">
        <f t="shared" si="21"/>
        <v>76792.938086180424</v>
      </c>
      <c r="X58" s="82">
        <f t="shared" si="17"/>
        <v>195090.87146810599</v>
      </c>
      <c r="Y58" s="82">
        <f t="shared" si="25"/>
        <v>184026.31998502114</v>
      </c>
      <c r="Z58" s="82">
        <f t="shared" si="22"/>
        <v>11064.551483084846</v>
      </c>
      <c r="AA58" s="82"/>
      <c r="AB58" s="81"/>
      <c r="AC58" s="81"/>
      <c r="AD58" s="78">
        <f t="shared" si="23"/>
        <v>451067.33175537409</v>
      </c>
      <c r="AE58" s="78">
        <f>SUM(AD58)+AD59</f>
        <v>899426.99283177964</v>
      </c>
      <c r="AF58" s="85">
        <f>(V58+Y58+Y59+V59)*22300/10^6</f>
        <v>16199.158961500454</v>
      </c>
      <c r="AG58" s="249"/>
    </row>
    <row r="59" spans="1:40" x14ac:dyDescent="0.2">
      <c r="A59" s="60">
        <v>38</v>
      </c>
      <c r="C59" s="71">
        <f t="shared" si="6"/>
        <v>36</v>
      </c>
      <c r="D59" s="165">
        <f t="shared" si="7"/>
        <v>51592</v>
      </c>
      <c r="E59" s="268">
        <f t="shared" si="8"/>
        <v>51775</v>
      </c>
      <c r="F59" s="71">
        <f t="shared" si="9"/>
        <v>23.5</v>
      </c>
      <c r="G59" s="71">
        <f t="shared" si="3"/>
        <v>183</v>
      </c>
      <c r="H59" s="71"/>
      <c r="I59" s="82">
        <f t="shared" si="18"/>
        <v>525789.66548067122</v>
      </c>
      <c r="J59" s="82"/>
      <c r="K59" s="82">
        <f>K23/38</f>
        <v>262894.73684210528</v>
      </c>
      <c r="L59" s="86">
        <f t="shared" si="15"/>
        <v>368052.76583646983</v>
      </c>
      <c r="M59" s="74">
        <f t="shared" si="19"/>
        <v>2.6315789473684209E-2</v>
      </c>
      <c r="N59" s="75">
        <f>[2]LIBOR!B52/100</f>
        <v>2.5191499999999981E-2</v>
      </c>
      <c r="O59" s="74">
        <f t="shared" si="11"/>
        <v>5.0000000000000001E-3</v>
      </c>
      <c r="P59" s="74">
        <f t="shared" si="4"/>
        <v>3.0191499999999982E-2</v>
      </c>
      <c r="Q59" s="83">
        <f t="shared" si="24"/>
        <v>726419.68437221763</v>
      </c>
      <c r="R59" s="86">
        <f>R57</f>
        <v>358367.04440217529</v>
      </c>
      <c r="S59" s="86">
        <f>Y59+Y60</f>
        <v>368052.63997004228</v>
      </c>
      <c r="T59" s="83">
        <v>13906</v>
      </c>
      <c r="U59" s="82">
        <f t="shared" si="20"/>
        <v>255976.46028726807</v>
      </c>
      <c r="V59" s="82">
        <f t="shared" si="16"/>
        <v>179183.52220108765</v>
      </c>
      <c r="W59" s="82">
        <f t="shared" si="21"/>
        <v>76792.938086180424</v>
      </c>
      <c r="X59" s="82">
        <f t="shared" si="17"/>
        <v>192383.20078913748</v>
      </c>
      <c r="Y59" s="82">
        <f t="shared" si="25"/>
        <v>184026.31998502114</v>
      </c>
      <c r="Z59" s="82">
        <f t="shared" si="22"/>
        <v>8356.880804116352</v>
      </c>
      <c r="AA59" s="82"/>
      <c r="AB59" s="81"/>
      <c r="AC59" s="81"/>
      <c r="AD59" s="78">
        <f t="shared" si="23"/>
        <v>448359.66107640555</v>
      </c>
      <c r="AE59" s="81"/>
      <c r="AF59" s="79"/>
      <c r="AG59" s="249"/>
    </row>
    <row r="60" spans="1:40" x14ac:dyDescent="0.2">
      <c r="A60" s="60">
        <v>39</v>
      </c>
      <c r="B60" s="60">
        <v>25</v>
      </c>
      <c r="C60" s="71">
        <f t="shared" si="6"/>
        <v>37</v>
      </c>
      <c r="D60" s="165">
        <f t="shared" si="7"/>
        <v>51775</v>
      </c>
      <c r="E60" s="268">
        <f t="shared" si="8"/>
        <v>51957</v>
      </c>
      <c r="F60" s="71">
        <f t="shared" si="9"/>
        <v>24</v>
      </c>
      <c r="G60" s="71">
        <f t="shared" si="3"/>
        <v>182</v>
      </c>
      <c r="H60" s="71"/>
      <c r="I60" s="82">
        <f t="shared" si="18"/>
        <v>262894.92863856594</v>
      </c>
      <c r="J60" s="82"/>
      <c r="K60" s="82">
        <f>K23/38</f>
        <v>262894.73684210528</v>
      </c>
      <c r="L60" s="86">
        <f t="shared" si="15"/>
        <v>184026.45004699615</v>
      </c>
      <c r="M60" s="74">
        <f t="shared" si="19"/>
        <v>2.6315789473684209E-2</v>
      </c>
      <c r="N60" s="75">
        <f>[2]LIBOR!B53/100</f>
        <v>2.5237999999999979E-2</v>
      </c>
      <c r="O60" s="74">
        <f t="shared" si="11"/>
        <v>5.0000000000000001E-3</v>
      </c>
      <c r="P60" s="74">
        <f t="shared" si="4"/>
        <v>3.023799999999998E-2</v>
      </c>
      <c r="Q60" s="83">
        <f t="shared" si="24"/>
        <v>0</v>
      </c>
      <c r="R60" s="74"/>
      <c r="S60" s="74"/>
      <c r="T60" s="83"/>
      <c r="U60" s="82">
        <f t="shared" si="20"/>
        <v>255976.46028726807</v>
      </c>
      <c r="V60" s="82">
        <f t="shared" si="16"/>
        <v>179183.52220108765</v>
      </c>
      <c r="W60" s="82">
        <f t="shared" si="21"/>
        <v>76792.938086180424</v>
      </c>
      <c r="X60" s="82">
        <f t="shared" si="17"/>
        <v>189575.66430028714</v>
      </c>
      <c r="Y60" s="82">
        <f t="shared" si="25"/>
        <v>184026.31998502114</v>
      </c>
      <c r="Z60" s="82">
        <f t="shared" si="22"/>
        <v>5549.3443152660175</v>
      </c>
      <c r="AA60" s="82"/>
      <c r="AB60" s="81"/>
      <c r="AC60" s="81"/>
      <c r="AD60" s="78">
        <f t="shared" si="23"/>
        <v>445552.12458755518</v>
      </c>
      <c r="AE60" s="78">
        <f>SUM(AD60)+AD61</f>
        <v>888349.11382378964</v>
      </c>
      <c r="AF60" s="85">
        <f>(V60+Y60+Y61+V61)*22300/10^6</f>
        <v>16199.158961500454</v>
      </c>
      <c r="AG60" s="249"/>
    </row>
    <row r="61" spans="1:40" x14ac:dyDescent="0.2">
      <c r="A61" s="60">
        <v>40</v>
      </c>
      <c r="C61" s="71">
        <f t="shared" si="6"/>
        <v>38</v>
      </c>
      <c r="D61" s="165">
        <f t="shared" si="7"/>
        <v>51957</v>
      </c>
      <c r="E61" s="268">
        <f t="shared" si="8"/>
        <v>52140</v>
      </c>
      <c r="F61" s="71">
        <f t="shared" si="9"/>
        <v>24.5</v>
      </c>
      <c r="G61" s="71">
        <f t="shared" si="3"/>
        <v>183</v>
      </c>
      <c r="H61" s="71"/>
      <c r="I61" s="239" t="s">
        <v>95</v>
      </c>
      <c r="J61" s="240"/>
      <c r="K61" s="240">
        <f>K23/38</f>
        <v>262894.73684210528</v>
      </c>
      <c r="L61" s="241" t="s">
        <v>95</v>
      </c>
      <c r="M61" s="74">
        <f t="shared" si="19"/>
        <v>2.6315789473684209E-2</v>
      </c>
      <c r="N61" s="75">
        <f>[2]LIBOR!B54/100</f>
        <v>2.5284499999999977E-2</v>
      </c>
      <c r="O61" s="74">
        <f t="shared" si="11"/>
        <v>5.0000000000000001E-3</v>
      </c>
      <c r="P61" s="74">
        <f t="shared" si="4"/>
        <v>3.0284499999999978E-2</v>
      </c>
      <c r="Q61" s="83">
        <f t="shared" si="24"/>
        <v>363209.84218610881</v>
      </c>
      <c r="R61" s="86">
        <f>V61</f>
        <v>179183.52220108765</v>
      </c>
      <c r="S61" s="86">
        <f>Y61</f>
        <v>184026.31998502114</v>
      </c>
      <c r="T61" s="83">
        <v>2794</v>
      </c>
      <c r="U61" s="82">
        <f t="shared" si="20"/>
        <v>255976.46028726807</v>
      </c>
      <c r="V61" s="82">
        <f t="shared" si="16"/>
        <v>179183.52220108765</v>
      </c>
      <c r="W61" s="82">
        <f t="shared" si="21"/>
        <v>76792.938086180424</v>
      </c>
      <c r="X61" s="82">
        <f t="shared" si="17"/>
        <v>186820.52894896641</v>
      </c>
      <c r="Y61" s="82">
        <f t="shared" si="25"/>
        <v>184026.31998502114</v>
      </c>
      <c r="Z61" s="82">
        <f t="shared" si="22"/>
        <v>2794.2089639452875</v>
      </c>
      <c r="AA61" s="82"/>
      <c r="AB61" s="81"/>
      <c r="AC61" s="81"/>
      <c r="AD61" s="78">
        <f t="shared" si="23"/>
        <v>442796.98923623445</v>
      </c>
      <c r="AE61" s="81"/>
      <c r="AF61" s="79"/>
      <c r="AG61" s="249"/>
    </row>
    <row r="62" spans="1:40" hidden="1" x14ac:dyDescent="0.2">
      <c r="C62" s="90"/>
      <c r="D62" s="166"/>
      <c r="E62" s="270"/>
      <c r="F62" s="90"/>
      <c r="G62" s="90"/>
      <c r="H62" s="91"/>
      <c r="I62" s="92" t="e">
        <f>I61+H62-U61</f>
        <v>#VALUE!</v>
      </c>
      <c r="J62" s="235"/>
      <c r="K62" s="235"/>
      <c r="L62" s="90"/>
      <c r="M62" s="93"/>
      <c r="N62" s="90"/>
      <c r="O62" s="90"/>
      <c r="P62" s="90"/>
      <c r="Q62" s="90"/>
      <c r="R62" s="90"/>
      <c r="S62" s="90"/>
      <c r="T62" s="83"/>
      <c r="U62" s="91"/>
      <c r="V62" s="84">
        <f>U62*20%</f>
        <v>0</v>
      </c>
      <c r="W62" s="76">
        <f t="shared" si="21"/>
        <v>0</v>
      </c>
      <c r="X62" s="90"/>
      <c r="Y62" s="84">
        <f>X62*20%</f>
        <v>0</v>
      </c>
      <c r="Z62" s="76">
        <f t="shared" ref="Z62:Z64" si="26">X62-Y62</f>
        <v>0</v>
      </c>
      <c r="AA62" s="90"/>
      <c r="AB62" s="61">
        <f>SUM(AB10:AB61)</f>
        <v>37664.200726780655</v>
      </c>
      <c r="AC62" s="61">
        <f>SUM(AC10:AC61)</f>
        <v>4680.4238357164731</v>
      </c>
      <c r="AE62" s="61"/>
      <c r="AF62" s="94"/>
      <c r="AG62" s="249"/>
    </row>
    <row r="63" spans="1:40" hidden="1" x14ac:dyDescent="0.2">
      <c r="C63" s="90"/>
      <c r="D63" s="166"/>
      <c r="E63" s="270"/>
      <c r="F63" s="90"/>
      <c r="G63" s="90"/>
      <c r="H63" s="95" t="s">
        <v>11</v>
      </c>
      <c r="I63" s="96" t="s">
        <v>12</v>
      </c>
      <c r="J63" s="236"/>
      <c r="K63" s="236"/>
      <c r="L63" s="97">
        <f>[2]DieuKien!D16</f>
        <v>9257981.2135051116</v>
      </c>
      <c r="M63" s="93"/>
      <c r="N63" s="98" t="s">
        <v>8</v>
      </c>
      <c r="O63" s="99" t="s">
        <v>23</v>
      </c>
      <c r="P63" s="100">
        <f>MAX(P10:P61)</f>
        <v>3.0284499999999978E-2</v>
      </c>
      <c r="Q63" s="100"/>
      <c r="R63" s="100"/>
      <c r="S63" s="100"/>
      <c r="T63" s="83"/>
      <c r="U63" s="101">
        <f>SUM(U10:U61)</f>
        <v>9727105.4909161869</v>
      </c>
      <c r="V63" s="84">
        <f>U63*20%</f>
        <v>1945421.0981832375</v>
      </c>
      <c r="W63" s="76">
        <f t="shared" si="21"/>
        <v>7781684.3927329499</v>
      </c>
      <c r="X63" s="102">
        <f>SUM(X20:X61)</f>
        <v>9081022.515591234</v>
      </c>
      <c r="Y63" s="84">
        <f>X63*20%</f>
        <v>1816204.5031182468</v>
      </c>
      <c r="Z63" s="76">
        <f t="shared" si="26"/>
        <v>7264818.0124729872</v>
      </c>
      <c r="AA63" s="103"/>
      <c r="AC63" s="104" t="s">
        <v>24</v>
      </c>
      <c r="AD63" s="105">
        <f>SUM(AD10:AD62)</f>
        <v>18808128.006507423</v>
      </c>
      <c r="AE63" s="105">
        <f>SUM(AE10:AE62)</f>
        <v>19330897.63759819</v>
      </c>
      <c r="AF63" s="244">
        <f>SUM(AF10:AF62)</f>
        <v>315888.57555807068</v>
      </c>
      <c r="AG63" s="249"/>
    </row>
    <row r="64" spans="1:40" hidden="1" x14ac:dyDescent="0.2">
      <c r="C64" s="90"/>
      <c r="D64" s="166"/>
      <c r="E64" s="270"/>
      <c r="F64" s="90"/>
      <c r="G64" s="90"/>
      <c r="H64" s="106"/>
      <c r="I64" s="107" t="s">
        <v>13</v>
      </c>
      <c r="J64" s="237"/>
      <c r="K64" s="237"/>
      <c r="L64" s="108">
        <f>L63*21458/1000000000</f>
        <v>198.6577608793927</v>
      </c>
      <c r="M64" s="93"/>
      <c r="N64" s="106"/>
      <c r="O64" s="109" t="s">
        <v>25</v>
      </c>
      <c r="P64" s="110">
        <f>MIN(P10:P61)</f>
        <v>1.8931333333333335E-2</v>
      </c>
      <c r="Q64" s="110"/>
      <c r="R64" s="110"/>
      <c r="S64" s="110"/>
      <c r="T64" s="83"/>
      <c r="U64" s="109"/>
      <c r="V64" s="84">
        <f>U64*20%</f>
        <v>0</v>
      </c>
      <c r="W64" s="76">
        <f t="shared" si="21"/>
        <v>0</v>
      </c>
      <c r="X64" s="111"/>
      <c r="Y64" s="84">
        <f>X64*20%</f>
        <v>0</v>
      </c>
      <c r="Z64" s="76">
        <f t="shared" si="26"/>
        <v>0</v>
      </c>
      <c r="AA64" s="112"/>
      <c r="AC64" s="113" t="s">
        <v>26</v>
      </c>
      <c r="AD64" s="114">
        <f>AD63/[2]DieuKien!D16</f>
        <v>2.0315582385359567</v>
      </c>
      <c r="AE64" s="115"/>
      <c r="AF64" s="245"/>
      <c r="AG64" s="249"/>
    </row>
    <row r="65" spans="3:33" hidden="1" x14ac:dyDescent="0.2">
      <c r="C65" s="90"/>
      <c r="D65" s="166"/>
      <c r="E65" s="270"/>
      <c r="F65" s="90"/>
      <c r="G65" s="90"/>
      <c r="H65" s="106"/>
      <c r="I65" s="116"/>
      <c r="J65" s="238"/>
      <c r="K65" s="238"/>
      <c r="L65" s="117"/>
      <c r="M65" s="93"/>
      <c r="N65" s="106"/>
      <c r="O65" s="109" t="s">
        <v>27</v>
      </c>
      <c r="P65" s="110">
        <f>AVERAGE(P10:P61)</f>
        <v>2.663099E-2</v>
      </c>
      <c r="Q65" s="118"/>
      <c r="R65" s="118"/>
      <c r="S65" s="118"/>
      <c r="T65" s="83"/>
      <c r="U65" s="119" t="s">
        <v>14</v>
      </c>
      <c r="V65" s="120"/>
      <c r="W65" s="120"/>
      <c r="X65" s="121" t="s">
        <v>14</v>
      </c>
      <c r="Y65" s="120"/>
      <c r="Z65" s="120"/>
      <c r="AA65" s="122"/>
      <c r="AC65" s="123"/>
      <c r="AD65" s="124" t="s">
        <v>15</v>
      </c>
      <c r="AE65" s="125">
        <f>MAX(AE24:AE62)</f>
        <v>1045113.2918900322</v>
      </c>
      <c r="AF65" s="246">
        <f>MAX(AF24:AF62)</f>
        <v>16199.158961500454</v>
      </c>
      <c r="AG65" s="249"/>
    </row>
    <row r="66" spans="3:33" hidden="1" x14ac:dyDescent="0.2">
      <c r="C66" s="90"/>
      <c r="D66" s="166"/>
      <c r="E66" s="270"/>
      <c r="F66" s="90"/>
      <c r="G66" s="90"/>
      <c r="H66" s="126"/>
      <c r="I66" s="127"/>
      <c r="J66" s="129"/>
      <c r="K66" s="129"/>
      <c r="L66" s="128"/>
      <c r="M66" s="93"/>
      <c r="N66" s="126"/>
      <c r="O66" s="127"/>
      <c r="P66" s="127"/>
      <c r="Q66" s="129"/>
      <c r="R66" s="129"/>
      <c r="S66" s="129"/>
      <c r="T66" s="83"/>
      <c r="U66" s="130" t="e">
        <f>U63*#REF!/1000000000</f>
        <v>#REF!</v>
      </c>
      <c r="V66" s="131"/>
      <c r="W66" s="131"/>
      <c r="X66" s="132" t="e">
        <f>X63*#REF!/1000000000</f>
        <v>#REF!</v>
      </c>
      <c r="Y66" s="131"/>
      <c r="Z66" s="131"/>
      <c r="AA66" s="133"/>
      <c r="AC66" s="123"/>
      <c r="AD66" s="124" t="s">
        <v>16</v>
      </c>
      <c r="AE66" s="125">
        <f>MIN(AE24:AE62)</f>
        <v>888349.11382378964</v>
      </c>
      <c r="AF66" s="246">
        <f>MIN(AF24:AF62)</f>
        <v>16199.151825834482</v>
      </c>
      <c r="AG66" s="249"/>
    </row>
    <row r="67" spans="3:33" hidden="1" x14ac:dyDescent="0.2">
      <c r="C67" s="90"/>
      <c r="D67" s="166"/>
      <c r="E67" s="270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83"/>
      <c r="U67" s="90"/>
      <c r="V67" s="134"/>
      <c r="W67" s="134"/>
      <c r="X67" s="90"/>
      <c r="Y67" s="134"/>
      <c r="Z67" s="134"/>
      <c r="AA67" s="90"/>
      <c r="AC67" s="135"/>
      <c r="AD67" s="136" t="s">
        <v>17</v>
      </c>
      <c r="AE67" s="137">
        <f>AVERAGE(AE24:AE62)</f>
        <v>978140.92534165177</v>
      </c>
      <c r="AF67" s="247">
        <f>AVERAGE(AF24:AF62)</f>
        <v>16199.158585939085</v>
      </c>
      <c r="AG67" s="249"/>
    </row>
    <row r="68" spans="3:33" hidden="1" x14ac:dyDescent="0.2">
      <c r="D68" s="167"/>
      <c r="T68" s="78"/>
      <c r="V68" s="138"/>
      <c r="W68" s="139"/>
      <c r="Y68" s="138"/>
      <c r="Z68" s="139"/>
      <c r="AG68" s="249"/>
    </row>
    <row r="69" spans="3:33" hidden="1" x14ac:dyDescent="0.2">
      <c r="D69" s="167"/>
      <c r="H69" s="61"/>
      <c r="T69" s="78"/>
      <c r="V69" s="140"/>
      <c r="W69" s="141"/>
      <c r="X69" s="61"/>
      <c r="Y69" s="140"/>
      <c r="Z69" s="141"/>
      <c r="AA69" s="61"/>
      <c r="AG69" s="249"/>
    </row>
    <row r="70" spans="3:33" hidden="1" x14ac:dyDescent="0.2">
      <c r="D70" s="167"/>
      <c r="T70" s="78"/>
      <c r="V70" s="142"/>
      <c r="W70" s="143"/>
      <c r="Y70" s="142"/>
      <c r="Z70" s="143"/>
      <c r="AD70" s="61"/>
      <c r="AG70" s="249"/>
    </row>
    <row r="71" spans="3:33" hidden="1" x14ac:dyDescent="0.2">
      <c r="D71" s="167"/>
      <c r="T71" s="78"/>
      <c r="AG71" s="249"/>
    </row>
    <row r="72" spans="3:33" hidden="1" x14ac:dyDescent="0.2">
      <c r="D72" s="167"/>
      <c r="T72" s="78"/>
      <c r="AG72" s="249"/>
    </row>
    <row r="73" spans="3:33" hidden="1" x14ac:dyDescent="0.2">
      <c r="D73" s="167"/>
      <c r="T73" s="78"/>
      <c r="AG73" s="249"/>
    </row>
    <row r="74" spans="3:33" hidden="1" x14ac:dyDescent="0.2">
      <c r="D74" s="167"/>
      <c r="T74" s="78"/>
      <c r="AG74" s="249"/>
    </row>
    <row r="75" spans="3:33" hidden="1" x14ac:dyDescent="0.2">
      <c r="D75" s="167"/>
      <c r="T75" s="78"/>
      <c r="AG75" s="249"/>
    </row>
    <row r="76" spans="3:33" hidden="1" x14ac:dyDescent="0.2">
      <c r="D76" s="167"/>
      <c r="T76" s="78"/>
      <c r="V76" s="145">
        <f>SUM(V25:V64)</f>
        <v>8575211.4196234774</v>
      </c>
      <c r="W76" s="146">
        <f>SUM(W25:W64)</f>
        <v>10623023.101921627</v>
      </c>
      <c r="Y76" s="145">
        <f>SUM(Y25:Y64)</f>
        <v>8625178.0225790031</v>
      </c>
      <c r="Z76" s="146">
        <f>SUM(Z25:Z64)</f>
        <v>9046623.4127839245</v>
      </c>
      <c r="AG76" s="249"/>
    </row>
    <row r="77" spans="3:33" hidden="1" x14ac:dyDescent="0.2">
      <c r="D77" s="167"/>
      <c r="T77" s="78"/>
      <c r="AG77" s="249"/>
    </row>
    <row r="78" spans="3:33" hidden="1" x14ac:dyDescent="0.2">
      <c r="D78" s="167"/>
      <c r="T78" s="78"/>
      <c r="AG78" s="249"/>
    </row>
    <row r="79" spans="3:33" hidden="1" x14ac:dyDescent="0.2">
      <c r="D79" s="167"/>
      <c r="T79" s="78"/>
      <c r="AG79" s="249"/>
    </row>
    <row r="80" spans="3:33" hidden="1" x14ac:dyDescent="0.2">
      <c r="D80" s="167"/>
      <c r="T80" s="257"/>
      <c r="AG80" s="249"/>
    </row>
    <row r="81" spans="3:33" x14ac:dyDescent="0.2">
      <c r="C81" s="293" t="s">
        <v>89</v>
      </c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5"/>
      <c r="Q81" s="81"/>
      <c r="R81" s="81"/>
      <c r="S81" s="81"/>
      <c r="T81" s="78"/>
      <c r="U81" s="81"/>
      <c r="V81" s="259"/>
      <c r="W81" s="81"/>
      <c r="X81" s="260">
        <f>SUM(X24:X61)</f>
        <v>8857572.0905751958</v>
      </c>
      <c r="Y81" s="260">
        <f t="shared" ref="Y81:Z81" si="27">SUM(Y24:Y61)</f>
        <v>6992999.8394457763</v>
      </c>
      <c r="Z81" s="260">
        <f t="shared" si="27"/>
        <v>1864572.2511294149</v>
      </c>
      <c r="AG81" s="249"/>
    </row>
    <row r="82" spans="3:33" x14ac:dyDescent="0.2">
      <c r="D82" s="167"/>
      <c r="T82" s="258"/>
      <c r="AG82" s="249"/>
    </row>
    <row r="83" spans="3:33" x14ac:dyDescent="0.2">
      <c r="D83" s="167"/>
      <c r="T83" s="78"/>
      <c r="AG83" s="249"/>
    </row>
    <row r="84" spans="3:33" x14ac:dyDescent="0.2">
      <c r="D84" s="167"/>
      <c r="T84" s="78"/>
      <c r="AG84" s="249"/>
    </row>
    <row r="85" spans="3:33" x14ac:dyDescent="0.2">
      <c r="D85" s="167"/>
      <c r="Q85" s="147">
        <f>SUM(Q24:Q61)</f>
        <v>13840717.505478416</v>
      </c>
      <c r="R85" s="147">
        <f>SUM(R24:R61)</f>
        <v>6523250.9662228413</v>
      </c>
      <c r="S85" s="147">
        <f>SUM(S24:S61)</f>
        <v>6624947.5194607582</v>
      </c>
      <c r="T85" s="147">
        <f>SUM(T24:T61)</f>
        <v>1864562</v>
      </c>
      <c r="U85" s="147"/>
      <c r="V85" s="148"/>
      <c r="W85" s="147"/>
      <c r="X85" s="147"/>
      <c r="Y85" s="148"/>
      <c r="Z85" s="147"/>
      <c r="AA85" s="147"/>
      <c r="AB85" s="149"/>
      <c r="AC85" s="149"/>
      <c r="AD85" s="149"/>
      <c r="AE85" s="149"/>
      <c r="AF85" s="150"/>
      <c r="AG85" s="249"/>
    </row>
    <row r="86" spans="3:33" x14ac:dyDescent="0.2">
      <c r="D86" s="167"/>
      <c r="T86" s="78"/>
      <c r="X86" s="151"/>
      <c r="AF86" s="152"/>
      <c r="AG86" s="249"/>
    </row>
    <row r="87" spans="3:33" x14ac:dyDescent="0.2">
      <c r="D87" s="167"/>
      <c r="S87" s="78">
        <f>Y87</f>
        <v>0</v>
      </c>
      <c r="T87" s="78"/>
      <c r="AG87" s="64"/>
    </row>
    <row r="88" spans="3:33" x14ac:dyDescent="0.2">
      <c r="D88" s="167"/>
      <c r="S88" s="78"/>
      <c r="T88" s="78"/>
    </row>
    <row r="89" spans="3:33" x14ac:dyDescent="0.2">
      <c r="D89" s="167"/>
      <c r="S89" s="153"/>
      <c r="T89" s="78"/>
    </row>
    <row r="90" spans="3:33" x14ac:dyDescent="0.2">
      <c r="D90" s="167"/>
      <c r="S90" s="78">
        <f>Y90+Y91</f>
        <v>0</v>
      </c>
      <c r="T90" s="78"/>
    </row>
    <row r="91" spans="3:33" x14ac:dyDescent="0.2">
      <c r="D91" s="167"/>
      <c r="S91" s="153"/>
      <c r="T91" s="78"/>
    </row>
    <row r="92" spans="3:33" x14ac:dyDescent="0.2">
      <c r="D92" s="167"/>
      <c r="S92" s="78">
        <f>Y92+Y93</f>
        <v>0</v>
      </c>
      <c r="T92" s="78"/>
    </row>
    <row r="93" spans="3:33" x14ac:dyDescent="0.2">
      <c r="D93" s="167"/>
      <c r="S93" s="153"/>
      <c r="T93" s="78"/>
    </row>
    <row r="94" spans="3:33" x14ac:dyDescent="0.2">
      <c r="D94" s="167"/>
      <c r="S94" s="78">
        <f>Y94+Y95</f>
        <v>0</v>
      </c>
      <c r="T94" s="78"/>
    </row>
    <row r="95" spans="3:33" x14ac:dyDescent="0.2">
      <c r="D95" s="167"/>
      <c r="S95" s="153"/>
      <c r="T95" s="154"/>
    </row>
    <row r="96" spans="3:33" x14ac:dyDescent="0.2">
      <c r="D96" s="167"/>
      <c r="S96" s="78">
        <f>Y96+Y97</f>
        <v>0</v>
      </c>
      <c r="T96" s="154"/>
    </row>
    <row r="97" spans="4:20" x14ac:dyDescent="0.2">
      <c r="D97" s="167"/>
      <c r="S97" s="153"/>
      <c r="T97" s="154"/>
    </row>
    <row r="98" spans="4:20" x14ac:dyDescent="0.2">
      <c r="D98" s="167"/>
      <c r="S98" s="155">
        <f>Y98+Y99</f>
        <v>0</v>
      </c>
      <c r="T98" s="154"/>
    </row>
    <row r="99" spans="4:20" x14ac:dyDescent="0.2">
      <c r="D99" s="167"/>
      <c r="S99" s="153"/>
      <c r="T99" s="154"/>
    </row>
    <row r="100" spans="4:20" x14ac:dyDescent="0.2">
      <c r="D100" s="167"/>
      <c r="S100" s="155">
        <f>Y100+Y101</f>
        <v>0</v>
      </c>
      <c r="T100" s="154"/>
    </row>
    <row r="101" spans="4:20" x14ac:dyDescent="0.2">
      <c r="D101" s="167"/>
      <c r="S101" s="153"/>
      <c r="T101" s="154"/>
    </row>
    <row r="102" spans="4:20" x14ac:dyDescent="0.2">
      <c r="D102" s="167"/>
      <c r="S102" s="155">
        <f>Y102+Y103</f>
        <v>0</v>
      </c>
      <c r="T102" s="154"/>
    </row>
    <row r="103" spans="4:20" x14ac:dyDescent="0.2">
      <c r="D103" s="167"/>
      <c r="S103" s="153"/>
      <c r="T103" s="154"/>
    </row>
    <row r="104" spans="4:20" x14ac:dyDescent="0.2">
      <c r="D104" s="167"/>
      <c r="S104" s="155">
        <f>Y104+Y105</f>
        <v>0</v>
      </c>
      <c r="T104" s="154"/>
    </row>
    <row r="105" spans="4:20" x14ac:dyDescent="0.2">
      <c r="D105" s="167"/>
      <c r="S105" s="153"/>
      <c r="T105" s="154"/>
    </row>
    <row r="106" spans="4:20" x14ac:dyDescent="0.2">
      <c r="D106" s="168"/>
      <c r="S106" s="156">
        <f>Y106+Y107</f>
        <v>0</v>
      </c>
      <c r="T106" s="154"/>
    </row>
    <row r="107" spans="4:20" x14ac:dyDescent="0.2">
      <c r="D107" s="168"/>
      <c r="S107" s="157"/>
      <c r="T107" s="154"/>
    </row>
    <row r="108" spans="4:20" x14ac:dyDescent="0.2">
      <c r="S108" s="156">
        <f>Y108+Y109</f>
        <v>0</v>
      </c>
      <c r="T108" s="154"/>
    </row>
    <row r="109" spans="4:20" x14ac:dyDescent="0.2">
      <c r="S109" s="157"/>
      <c r="T109" s="154"/>
    </row>
    <row r="110" spans="4:20" x14ac:dyDescent="0.2">
      <c r="S110" s="155">
        <f>Y110+Y111</f>
        <v>0</v>
      </c>
    </row>
    <row r="111" spans="4:20" x14ac:dyDescent="0.2">
      <c r="S111" s="153"/>
    </row>
    <row r="112" spans="4:20" x14ac:dyDescent="0.2">
      <c r="S112" s="155">
        <f>Y112+Y113</f>
        <v>0</v>
      </c>
    </row>
    <row r="113" spans="19:19" x14ac:dyDescent="0.2">
      <c r="S113" s="153"/>
    </row>
    <row r="114" spans="19:19" x14ac:dyDescent="0.2">
      <c r="S114" s="155">
        <f>Y114+Y115</f>
        <v>0</v>
      </c>
    </row>
    <row r="115" spans="19:19" x14ac:dyDescent="0.2">
      <c r="S115" s="153"/>
    </row>
    <row r="116" spans="19:19" x14ac:dyDescent="0.2">
      <c r="S116" s="86">
        <f>Y116+Y117</f>
        <v>0</v>
      </c>
    </row>
    <row r="117" spans="19:19" x14ac:dyDescent="0.2">
      <c r="S117" s="74"/>
    </row>
    <row r="118" spans="19:19" x14ac:dyDescent="0.2">
      <c r="S118" s="155">
        <f>Y118+Y119</f>
        <v>0</v>
      </c>
    </row>
    <row r="119" spans="19:19" x14ac:dyDescent="0.2">
      <c r="S119" s="153"/>
    </row>
    <row r="120" spans="19:19" x14ac:dyDescent="0.2">
      <c r="S120" s="155">
        <f>Y120+Y121</f>
        <v>0</v>
      </c>
    </row>
    <row r="121" spans="19:19" x14ac:dyDescent="0.2">
      <c r="S121" s="153"/>
    </row>
    <row r="122" spans="19:19" x14ac:dyDescent="0.2">
      <c r="S122" s="155">
        <f>Y122+Y123</f>
        <v>0</v>
      </c>
    </row>
    <row r="123" spans="19:19" x14ac:dyDescent="0.2">
      <c r="S123" s="153"/>
    </row>
    <row r="124" spans="19:19" x14ac:dyDescent="0.2">
      <c r="S124" s="155">
        <f>Y124</f>
        <v>0</v>
      </c>
    </row>
  </sheetData>
  <mergeCells count="19">
    <mergeCell ref="C1:Z1"/>
    <mergeCell ref="C2:Z2"/>
    <mergeCell ref="D5:D7"/>
    <mergeCell ref="H5:H7"/>
    <mergeCell ref="V6:W6"/>
    <mergeCell ref="U5:W5"/>
    <mergeCell ref="U6:U7"/>
    <mergeCell ref="P5:P7"/>
    <mergeCell ref="C5:C7"/>
    <mergeCell ref="I5:L6"/>
    <mergeCell ref="Y3:Z3"/>
    <mergeCell ref="C81:P81"/>
    <mergeCell ref="AA5:AA7"/>
    <mergeCell ref="E5:E7"/>
    <mergeCell ref="G5:G7"/>
    <mergeCell ref="AF7:AF10"/>
    <mergeCell ref="X6:X7"/>
    <mergeCell ref="X5:Z5"/>
    <mergeCell ref="Y6:Z6"/>
  </mergeCells>
  <printOptions horizontalCentered="1"/>
  <pageMargins left="0.5" right="0.25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ADF TT FN</vt:lpstr>
      <vt:lpstr>Tra ADF nhanh</vt:lpstr>
      <vt:lpstr>ADF Nhanh</vt:lpstr>
      <vt:lpstr>Lich tra no OCR</vt:lpstr>
    </vt:vector>
  </TitlesOfParts>
  <Company>Tuan Kiet Co.,Ltd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Unbreakable™</dc:creator>
  <cp:lastModifiedBy>Hoang Tu Quoc Hung</cp:lastModifiedBy>
  <cp:lastPrinted>2017-06-08T01:30:24Z</cp:lastPrinted>
  <dcterms:created xsi:type="dcterms:W3CDTF">2016-03-16T03:39:49Z</dcterms:created>
  <dcterms:modified xsi:type="dcterms:W3CDTF">2017-07-07T07:01:58Z</dcterms:modified>
</cp:coreProperties>
</file>